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2" activeTab="5"/>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Income Pacing" sheetId="46" r:id="rId9"/>
    <sheet name="Band and Other Music" sheetId="22" r:id="rId10"/>
    <sheet name="Rates for Cheryl" sheetId="24" r:id="rId11"/>
    <sheet name="Comparison" sheetId="32" state="hidden" r:id="rId12"/>
    <sheet name="10 year Experience" sheetId="45" state="hidden" r:id="rId13"/>
    <sheet name="Pastor Kelly" sheetId="29" state="hidden" r:id="rId14"/>
    <sheet name="Interim Pastor" sheetId="43" state="hidden" r:id="rId15"/>
    <sheet name="2023 Est-P Kelly" sheetId="37" state="hidden" r:id="rId16"/>
    <sheet name="Glen and Cheryl" sheetId="38" state="hidden" r:id="rId17"/>
    <sheet name="Pie Chart" sheetId="27" state="hidden" r:id="rId18"/>
    <sheet name="Expenses" sheetId="28" state="hidden" r:id="rId19"/>
    <sheet name="Benevolence" sheetId="31" state="hidden" r:id="rId20"/>
    <sheet name="Dec Council Meeting" sheetId="34" state="hidden" r:id="rId21"/>
    <sheet name="Options" sheetId="33" state="hidden" r:id="rId22"/>
    <sheet name="PK to Cheryl" sheetId="41" state="hidden" r:id="rId23"/>
    <sheet name="Pastor Karen" sheetId="21" state="hidden" r:id="rId24"/>
    <sheet name="Cheryl Salary Range" sheetId="42" state="hidden" r:id="rId25"/>
  </sheets>
  <externalReferences>
    <externalReference r:id="rId26"/>
  </externalReferences>
  <definedNames>
    <definedName name="Bud_Yr">'Top Sheet'!$C$2</definedName>
    <definedName name="dddd" localSheetId="12">#REF!</definedName>
    <definedName name="dddd" localSheetId="4">#REF!</definedName>
    <definedName name="dddd" localSheetId="14">#REF!</definedName>
    <definedName name="dddd" localSheetId="7">#REF!</definedName>
    <definedName name="dddd" localSheetId="13">#REF!</definedName>
    <definedName name="dddd" localSheetId="22">#REF!</definedName>
    <definedName name="dddd">#REF!</definedName>
    <definedName name="_xlnm.Print_Titles" localSheetId="18">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P63" i="1" l="1"/>
  <c r="C14" i="48"/>
  <c r="C18" i="48"/>
  <c r="P120" i="1"/>
  <c r="P14" i="1"/>
  <c r="R53" i="1"/>
  <c r="S53" i="1"/>
  <c r="W53" i="1"/>
  <c r="P64" i="1"/>
  <c r="P119" i="1"/>
  <c r="F109" i="1"/>
  <c r="R52" i="1"/>
  <c r="S52" i="1"/>
  <c r="W52" i="1"/>
  <c r="P20" i="1"/>
  <c r="R25" i="1"/>
  <c r="S25" i="1"/>
  <c r="W25" i="1"/>
  <c r="C4" i="49" l="1"/>
  <c r="C10" i="49" s="1"/>
  <c r="C30" i="48"/>
  <c r="C15" i="48"/>
  <c r="C12" i="48"/>
  <c r="C19" i="48" s="1"/>
  <c r="P127" i="1" s="1"/>
  <c r="C11" i="48"/>
  <c r="C7" i="48"/>
  <c r="V84" i="1"/>
  <c r="U72" i="1"/>
  <c r="U84" i="1"/>
  <c r="C16" i="48" l="1"/>
  <c r="C20" i="48" s="1"/>
  <c r="C61" i="20"/>
  <c r="F61" i="20"/>
  <c r="J61" i="20"/>
  <c r="K61" i="20"/>
  <c r="S62" i="1"/>
  <c r="W62" i="1"/>
  <c r="P62" i="1" l="1"/>
  <c r="H61" i="20"/>
  <c r="L61" i="20"/>
  <c r="F111" i="1"/>
  <c r="F110" i="1"/>
  <c r="F97" i="1"/>
  <c r="H97" i="1" s="1"/>
  <c r="H12" i="22"/>
  <c r="P101" i="1" s="1"/>
  <c r="P81" i="1"/>
  <c r="P79" i="1"/>
  <c r="P80" i="1"/>
  <c r="P72" i="1"/>
  <c r="P78" i="1"/>
  <c r="P76" i="1"/>
  <c r="P74" i="1"/>
  <c r="P73" i="1"/>
  <c r="E9" i="39"/>
  <c r="D32" i="39"/>
  <c r="D27" i="39"/>
  <c r="D28" i="39"/>
  <c r="D26" i="39"/>
  <c r="D21" i="39"/>
  <c r="D19" i="39"/>
  <c r="D15" i="39"/>
  <c r="D11" i="39"/>
  <c r="D9" i="39"/>
  <c r="D7" i="39"/>
  <c r="D8" i="39"/>
  <c r="C29" i="39"/>
  <c r="C6" i="39"/>
  <c r="B29" i="39"/>
  <c r="B8" i="39"/>
  <c r="B6" i="39" s="1"/>
  <c r="G43" i="22"/>
  <c r="H43" i="22"/>
  <c r="G32" i="22"/>
  <c r="G46" i="22"/>
  <c r="F46" i="22"/>
  <c r="E46" i="22"/>
  <c r="D46" i="22"/>
  <c r="C46" i="22"/>
  <c r="H26" i="22"/>
  <c r="H39" i="22" s="1"/>
  <c r="Q127" i="1"/>
  <c r="Q126" i="1"/>
  <c r="H6" i="22"/>
  <c r="H69" i="22" s="1"/>
  <c r="H71" i="22" s="1"/>
  <c r="H57" i="22"/>
  <c r="H35" i="22"/>
  <c r="H74" i="22"/>
  <c r="H73" i="22"/>
  <c r="H27" i="22"/>
  <c r="H19" i="22"/>
  <c r="H18" i="22"/>
  <c r="Q92" i="1"/>
  <c r="Q91" i="1"/>
  <c r="Q90" i="1"/>
  <c r="Q89" i="1"/>
  <c r="Q88" i="1"/>
  <c r="Q87" i="1"/>
  <c r="Q86" i="1"/>
  <c r="Q85" i="1"/>
  <c r="Q84" i="1"/>
  <c r="Q66" i="1"/>
  <c r="Q57" i="1"/>
  <c r="X4" i="1"/>
  <c r="E61" i="20" l="1"/>
  <c r="G61" i="20" s="1"/>
  <c r="R62" i="1"/>
  <c r="P97" i="1"/>
  <c r="H53" i="22"/>
  <c r="D29" i="39"/>
  <c r="D6" i="39"/>
  <c r="D10" i="39"/>
  <c r="D12" i="39" s="1"/>
  <c r="D13" i="39" s="1"/>
  <c r="D20" i="39" s="1"/>
  <c r="C10" i="39"/>
  <c r="B10" i="39"/>
  <c r="B12" i="39" s="1"/>
  <c r="B13" i="39" s="1"/>
  <c r="H30" i="22"/>
  <c r="H45" i="22"/>
  <c r="H76" i="22"/>
  <c r="H79" i="22" s="1"/>
  <c r="H37" i="22"/>
  <c r="H40" i="22" s="1"/>
  <c r="H14" i="22"/>
  <c r="H49" i="22"/>
  <c r="H51" i="22" s="1"/>
  <c r="H54" i="22" l="1"/>
  <c r="D22" i="39"/>
  <c r="D23" i="39" s="1"/>
  <c r="D16" i="39"/>
  <c r="C12" i="39"/>
  <c r="C13" i="39" s="1"/>
  <c r="B22" i="39"/>
  <c r="B20" i="39"/>
  <c r="B16" i="39"/>
  <c r="H31" i="22"/>
  <c r="H46" i="22"/>
  <c r="H47" i="22" s="1"/>
  <c r="H58" i="22" s="1"/>
  <c r="P104" i="1" s="1"/>
  <c r="H62" i="22"/>
  <c r="H64" i="22" s="1"/>
  <c r="H67" i="22" s="1"/>
  <c r="H16" i="22"/>
  <c r="H20" i="22" s="1"/>
  <c r="H22" i="22" s="1"/>
  <c r="H28" i="22" s="1"/>
  <c r="H32" i="22" l="1"/>
  <c r="P103" i="1" s="1"/>
  <c r="D31" i="39"/>
  <c r="C20" i="39"/>
  <c r="C22" i="39"/>
  <c r="C16" i="39"/>
  <c r="B23" i="39"/>
  <c r="B31" i="39" s="1"/>
  <c r="D24" i="43"/>
  <c r="C23" i="39" l="1"/>
  <c r="C31" i="39" s="1"/>
  <c r="E20" i="43"/>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49" i="1"/>
  <c r="U149" i="1"/>
  <c r="Q149" i="1"/>
  <c r="P149" i="1"/>
  <c r="W142" i="1"/>
  <c r="S142" i="1"/>
  <c r="R142"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188" i="1"/>
  <c r="R168" i="1"/>
  <c r="R165" i="1"/>
  <c r="Q165" i="1"/>
  <c r="Q163" i="1"/>
  <c r="C22" i="43" l="1"/>
  <c r="C21" i="22"/>
  <c r="D21" i="22"/>
  <c r="F54" i="22"/>
  <c r="R97" i="1" l="1"/>
  <c r="K73" i="20"/>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100" i="1" l="1"/>
  <c r="N56" i="29"/>
  <c r="M56" i="29"/>
  <c r="M58" i="29" s="1"/>
  <c r="K57" i="29"/>
  <c r="K58" i="29"/>
  <c r="M25" i="29"/>
  <c r="M12" i="29"/>
  <c r="M5" i="29"/>
  <c r="V98" i="1"/>
  <c r="U98" i="1"/>
  <c r="Q98" i="1"/>
  <c r="P98" i="1"/>
  <c r="W97" i="1"/>
  <c r="S97" i="1"/>
  <c r="V163"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110" i="1" l="1"/>
  <c r="G57" i="22" l="1"/>
  <c r="F51" i="22"/>
  <c r="J49" i="22"/>
  <c r="G18" i="22"/>
  <c r="F35" i="22"/>
  <c r="F37" i="22" s="1"/>
  <c r="F40" i="22" s="1"/>
  <c r="F74" i="22"/>
  <c r="F73" i="22"/>
  <c r="F19" i="22"/>
  <c r="F69" i="22"/>
  <c r="F71" i="22" s="1"/>
  <c r="M54" i="29"/>
  <c r="M43" i="29"/>
  <c r="M28" i="29"/>
  <c r="M14" i="29" s="1"/>
  <c r="M24" i="29"/>
  <c r="M29" i="29" s="1"/>
  <c r="M34" i="29" s="1"/>
  <c r="Q168" i="1"/>
  <c r="Q160" i="1"/>
  <c r="H81" i="22" l="1"/>
  <c r="Q101"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V164" i="1"/>
  <c r="F81" i="22" l="1"/>
  <c r="H82" i="22" s="1"/>
  <c r="H83" i="22" s="1"/>
  <c r="Q190" i="1"/>
  <c r="R190" i="1"/>
  <c r="S190" i="1"/>
  <c r="P190" i="1"/>
  <c r="U189" i="1"/>
  <c r="U188" i="1"/>
  <c r="U187" i="1"/>
  <c r="U185" i="1"/>
  <c r="Q182" i="1"/>
  <c r="R182" i="1"/>
  <c r="S182" i="1"/>
  <c r="P182" i="1"/>
  <c r="U180" i="1"/>
  <c r="U181" i="1"/>
  <c r="U179" i="1"/>
  <c r="U170" i="1"/>
  <c r="U171" i="1"/>
  <c r="U172" i="1"/>
  <c r="U173" i="1"/>
  <c r="U174" i="1"/>
  <c r="U175" i="1"/>
  <c r="U176" i="1"/>
  <c r="U177" i="1"/>
  <c r="U178" i="1"/>
  <c r="U160" i="1"/>
  <c r="U163" i="1"/>
  <c r="U164" i="1"/>
  <c r="U165" i="1"/>
  <c r="U167" i="1"/>
  <c r="U168" i="1"/>
  <c r="U169" i="1"/>
  <c r="U159" i="1"/>
  <c r="V158" i="1"/>
  <c r="U190" i="1" l="1"/>
  <c r="U182"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7" i="1"/>
  <c r="P66" i="1"/>
  <c r="H109" i="1"/>
  <c r="C15" i="24"/>
  <c r="Z113" i="1"/>
  <c r="H113" i="1"/>
  <c r="L113" i="1"/>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C24" i="24"/>
  <c r="C20" i="24"/>
  <c r="H111" i="1"/>
  <c r="I106" i="1"/>
  <c r="E106"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H112" i="1"/>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P93" i="1"/>
  <c r="Q9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P116" i="1"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05" i="1" l="1"/>
  <c r="Q105" i="1"/>
  <c r="G40" i="22"/>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104" i="1"/>
  <c r="I20" i="29"/>
  <c r="R47" i="21"/>
  <c r="R50" i="21" s="1"/>
  <c r="R51" i="21" s="1"/>
  <c r="R40" i="21"/>
  <c r="R34" i="21"/>
  <c r="R35" i="21" s="1"/>
  <c r="R37" i="21" s="1"/>
  <c r="R38" i="21" s="1"/>
  <c r="F7" i="36"/>
  <c r="F8" i="36" s="1"/>
  <c r="E12" i="35"/>
  <c r="E14" i="35" s="1"/>
  <c r="G81" i="22" l="1"/>
  <c r="Q103"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J108" i="1"/>
  <c r="AK108" i="1"/>
  <c r="AL108" i="1"/>
  <c r="AM81" i="1"/>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9"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7" i="49" l="1"/>
  <c r="D6" i="49"/>
  <c r="D8" i="49"/>
  <c r="D27" i="22"/>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9" i="1"/>
  <c r="C8" i="35" s="1"/>
  <c r="V29" i="1"/>
  <c r="W28" i="1"/>
  <c r="S28" i="1"/>
  <c r="R28" i="1"/>
  <c r="W27" i="1"/>
  <c r="S27" i="1"/>
  <c r="R27" i="1"/>
  <c r="W26" i="1"/>
  <c r="S26" i="1"/>
  <c r="R26" i="1"/>
  <c r="W24" i="1"/>
  <c r="S24" i="1"/>
  <c r="R24" i="1"/>
  <c r="W23" i="1"/>
  <c r="S23" i="1"/>
  <c r="R23" i="1"/>
  <c r="W22" i="1"/>
  <c r="S22" i="1"/>
  <c r="R22" i="1"/>
  <c r="W21" i="1"/>
  <c r="S21" i="1"/>
  <c r="R21" i="1"/>
  <c r="W20" i="1"/>
  <c r="AF63" i="1"/>
  <c r="AG63" i="1"/>
  <c r="AH63" i="1"/>
  <c r="AF64" i="1"/>
  <c r="AG64" i="1"/>
  <c r="AH64" i="1"/>
  <c r="AF65" i="1"/>
  <c r="AG65" i="1"/>
  <c r="AH65" i="1"/>
  <c r="AG61" i="1"/>
  <c r="AH61" i="1"/>
  <c r="AF61" i="1"/>
  <c r="AG60" i="1"/>
  <c r="AH60" i="1"/>
  <c r="AF60"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109" i="1"/>
  <c r="D28" i="22" l="1"/>
  <c r="D32" i="22" s="1"/>
  <c r="D81" i="22" s="1"/>
  <c r="F82" i="22" s="1"/>
  <c r="F83" i="22" s="1"/>
  <c r="D22" i="22"/>
  <c r="D31" i="22" s="1"/>
  <c r="E19" i="29"/>
  <c r="R20" i="1"/>
  <c r="P29" i="1"/>
  <c r="B8" i="35" s="1"/>
  <c r="G9" i="36"/>
  <c r="C9" i="32"/>
  <c r="E29" i="29"/>
  <c r="E34" i="29" s="1"/>
  <c r="S20" i="1"/>
  <c r="G6" i="31"/>
  <c r="C15" i="31"/>
  <c r="F15" i="31"/>
  <c r="C21" i="24"/>
  <c r="C62" i="22"/>
  <c r="C64" i="22" s="1"/>
  <c r="C67" i="22" s="1"/>
  <c r="C35" i="22"/>
  <c r="C37" i="22" s="1"/>
  <c r="C40" i="22" s="1"/>
  <c r="C74" i="22"/>
  <c r="C73" i="22"/>
  <c r="C71" i="22"/>
  <c r="C19" i="22"/>
  <c r="C16" i="22"/>
  <c r="I30" i="21"/>
  <c r="I14" i="21" s="1"/>
  <c r="C27" i="22" l="1"/>
  <c r="C49" i="22"/>
  <c r="C51" i="22" s="1"/>
  <c r="C10" i="32"/>
  <c r="C12" i="32"/>
  <c r="C13" i="32" s="1"/>
  <c r="G10" i="36"/>
  <c r="G11" i="36" s="1"/>
  <c r="G42" i="36"/>
  <c r="R29" i="1"/>
  <c r="AF67" i="1"/>
  <c r="AH67" i="1"/>
  <c r="AG67" i="1"/>
  <c r="C43" i="22"/>
  <c r="C20" i="22"/>
  <c r="C76" i="22"/>
  <c r="C79" i="22" s="1"/>
  <c r="G14" i="21"/>
  <c r="R85" i="1"/>
  <c r="C43" i="29"/>
  <c r="C5" i="29"/>
  <c r="W88" i="1"/>
  <c r="S88" i="1"/>
  <c r="R88" i="1"/>
  <c r="W93" i="1"/>
  <c r="S93" i="1"/>
  <c r="V94" i="1"/>
  <c r="U94" i="1"/>
  <c r="AL92" i="1"/>
  <c r="AK92" i="1"/>
  <c r="AJ92" i="1"/>
  <c r="W92" i="1"/>
  <c r="S92" i="1"/>
  <c r="W91" i="1"/>
  <c r="S91" i="1"/>
  <c r="W90" i="1"/>
  <c r="S90" i="1"/>
  <c r="W89" i="1"/>
  <c r="W87" i="1"/>
  <c r="W86" i="1"/>
  <c r="W85" i="1"/>
  <c r="S85" i="1"/>
  <c r="C28" i="22" l="1"/>
  <c r="C32" i="22" s="1"/>
  <c r="C22" i="22"/>
  <c r="C31" i="22" s="1"/>
  <c r="C47" i="22"/>
  <c r="C54" i="22"/>
  <c r="C16" i="29"/>
  <c r="C54" i="29"/>
  <c r="AJ94" i="1"/>
  <c r="D54" i="29"/>
  <c r="R93" i="1"/>
  <c r="R90" i="1"/>
  <c r="W84" i="1"/>
  <c r="R91" i="1"/>
  <c r="R92" i="1"/>
  <c r="W94" i="1"/>
  <c r="AK94" i="1"/>
  <c r="AL94" i="1"/>
  <c r="S8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86" i="1"/>
  <c r="D7" i="24"/>
  <c r="C7" i="24"/>
  <c r="E32" i="29"/>
  <c r="E33" i="29" s="1"/>
  <c r="E35" i="29" s="1"/>
  <c r="E36" i="29" s="1"/>
  <c r="E38" i="29"/>
  <c r="E56" i="29" s="1"/>
  <c r="E45" i="29"/>
  <c r="R84" i="1"/>
  <c r="D20" i="29"/>
  <c r="R86" i="1"/>
  <c r="Q94" i="1" l="1"/>
  <c r="S87" i="1"/>
  <c r="C8" i="24"/>
  <c r="D44" i="29"/>
  <c r="D45" i="29" s="1"/>
  <c r="D32" i="29"/>
  <c r="D33" i="29" s="1"/>
  <c r="D38" i="29" s="1"/>
  <c r="D36" i="29" s="1"/>
  <c r="R87" i="1" l="1"/>
  <c r="I58" i="29"/>
  <c r="N58" i="29"/>
  <c r="N57" i="29"/>
  <c r="I57" i="29"/>
  <c r="D56" i="29"/>
  <c r="P94" i="1"/>
  <c r="AG94" i="1" l="1"/>
  <c r="AF94" i="1"/>
  <c r="AH94" i="1"/>
  <c r="AM137" i="1"/>
  <c r="AI137" i="1"/>
  <c r="AM136" i="1"/>
  <c r="AI136" i="1"/>
  <c r="AM135" i="1"/>
  <c r="AI135" i="1"/>
  <c r="AM134" i="1"/>
  <c r="AI134" i="1"/>
  <c r="AM133" i="1"/>
  <c r="AM126" i="1"/>
  <c r="AM127" i="1"/>
  <c r="AM128" i="1"/>
  <c r="AM129" i="1"/>
  <c r="AM130" i="1"/>
  <c r="AI127" i="1"/>
  <c r="AI129" i="1"/>
  <c r="AI130" i="1"/>
  <c r="AM125" i="1"/>
  <c r="AJ120" i="1"/>
  <c r="AF120" i="1"/>
  <c r="AJ116" i="1"/>
  <c r="AM110" i="1"/>
  <c r="AH119" i="1"/>
  <c r="AG119" i="1"/>
  <c r="AF119" i="1"/>
  <c r="AH114" i="1"/>
  <c r="AG114" i="1"/>
  <c r="AF114" i="1"/>
  <c r="AL107" i="1"/>
  <c r="AK107" i="1"/>
  <c r="AK119" i="1" s="1"/>
  <c r="AJ107" i="1"/>
  <c r="AJ106" i="1"/>
  <c r="AJ105" i="1"/>
  <c r="AJ104" i="1"/>
  <c r="AJ103" i="1"/>
  <c r="AJ102" i="1"/>
  <c r="AJ101" i="1"/>
  <c r="AJ100" i="1"/>
  <c r="AF102" i="1"/>
  <c r="AK96" i="1"/>
  <c r="AK81" i="1"/>
  <c r="AL81" i="1"/>
  <c r="AJ81" i="1"/>
  <c r="AJ67" i="1"/>
  <c r="AJ65" i="1"/>
  <c r="AJ64" i="1"/>
  <c r="AJ63" i="1"/>
  <c r="AJ61" i="1"/>
  <c r="AJ60" i="1"/>
  <c r="AJ57" i="1"/>
  <c r="AJ56" i="1"/>
  <c r="AK55" i="1"/>
  <c r="AJ51" i="1"/>
  <c r="AF57" i="1"/>
  <c r="AF56" i="1"/>
  <c r="AH55" i="1"/>
  <c r="AF51" i="1"/>
  <c r="AL29" i="1"/>
  <c r="AJ46" i="1"/>
  <c r="AF46" i="1"/>
  <c r="AL49" i="1"/>
  <c r="AH49" i="1"/>
  <c r="AK44" i="1"/>
  <c r="AG44" i="1"/>
  <c r="AJ41" i="1"/>
  <c r="AJ40" i="1"/>
  <c r="AF41" i="1"/>
  <c r="AF40" i="1"/>
  <c r="AK33" i="1"/>
  <c r="AK34" i="1"/>
  <c r="AK35" i="1"/>
  <c r="AK36" i="1"/>
  <c r="AK37" i="1"/>
  <c r="AG33" i="1"/>
  <c r="AG34" i="1"/>
  <c r="AG35" i="1"/>
  <c r="AG36" i="1"/>
  <c r="AG37" i="1"/>
  <c r="AG32" i="1"/>
  <c r="AK32" i="1"/>
  <c r="AJ3" i="1"/>
  <c r="AF3" i="1"/>
  <c r="C65" i="20"/>
  <c r="E65" i="20"/>
  <c r="F65" i="20"/>
  <c r="J65" i="20"/>
  <c r="K65" i="20"/>
  <c r="V68" i="1"/>
  <c r="U68" i="1"/>
  <c r="Q68" i="1"/>
  <c r="P68" i="1"/>
  <c r="W66" i="1"/>
  <c r="S66" i="1"/>
  <c r="R66" i="1"/>
  <c r="C12" i="24"/>
  <c r="R101" i="1"/>
  <c r="W105" i="1"/>
  <c r="W101" i="1"/>
  <c r="E35" i="22"/>
  <c r="E37" i="22" s="1"/>
  <c r="E40" i="22" s="1"/>
  <c r="E73" i="22"/>
  <c r="E74" i="22"/>
  <c r="E19" i="22"/>
  <c r="E14" i="22"/>
  <c r="C96" i="20"/>
  <c r="E96" i="20"/>
  <c r="F96" i="20"/>
  <c r="H96" i="20" s="1"/>
  <c r="J96" i="20"/>
  <c r="K96" i="20"/>
  <c r="L96" i="20" s="1"/>
  <c r="P109" i="1"/>
  <c r="G58" i="21"/>
  <c r="E16" i="22" l="1"/>
  <c r="E21" i="22"/>
  <c r="AI109" i="1"/>
  <c r="AH109" i="1"/>
  <c r="AG109" i="1"/>
  <c r="AF109" i="1"/>
  <c r="AJ115" i="1"/>
  <c r="AL117" i="1"/>
  <c r="H65" i="20"/>
  <c r="L65" i="20"/>
  <c r="G65" i="20"/>
  <c r="G96" i="20"/>
  <c r="AJ114" i="1"/>
  <c r="R89" i="1"/>
  <c r="R94" i="1" s="1"/>
  <c r="S89" i="1"/>
  <c r="AK117" i="1"/>
  <c r="AK109" i="1"/>
  <c r="AK114" i="1"/>
  <c r="AJ109" i="1"/>
  <c r="AJ119" i="1"/>
  <c r="AJ117" i="1"/>
  <c r="E43" i="22"/>
  <c r="AL115" i="1"/>
  <c r="AK118" i="1"/>
  <c r="AL118" i="1"/>
  <c r="AK115" i="1"/>
  <c r="AJ118" i="1"/>
  <c r="AL119" i="1"/>
  <c r="AL109" i="1"/>
  <c r="AL114" i="1"/>
  <c r="AF101" i="1"/>
  <c r="S101" i="1"/>
  <c r="E20" i="22"/>
  <c r="E62" i="22"/>
  <c r="E64" i="22" s="1"/>
  <c r="E67" i="22" s="1"/>
  <c r="AF116" i="1" s="1"/>
  <c r="E69" i="22"/>
  <c r="E71" i="22" s="1"/>
  <c r="E76" i="22" s="1"/>
  <c r="E79" i="22" s="1"/>
  <c r="G24" i="21"/>
  <c r="G26" i="21" s="1"/>
  <c r="G31" i="21" s="1"/>
  <c r="D24" i="21"/>
  <c r="W8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105" i="1"/>
  <c r="AF104" i="1"/>
  <c r="S94" i="1"/>
  <c r="AF105" i="1"/>
  <c r="R80" i="1"/>
  <c r="S80" i="1"/>
  <c r="E31" i="21"/>
  <c r="D31" i="21"/>
  <c r="D49" i="21" s="1"/>
  <c r="D6" i="21"/>
  <c r="D9" i="21"/>
  <c r="D14" i="21"/>
  <c r="C14" i="21"/>
  <c r="F14" i="21"/>
  <c r="F22" i="21"/>
  <c r="F24" i="21" s="1"/>
  <c r="F26" i="21" s="1"/>
  <c r="G36" i="21"/>
  <c r="C9" i="21"/>
  <c r="C22" i="21" s="1"/>
  <c r="C24" i="21" s="1"/>
  <c r="C26" i="21" s="1"/>
  <c r="B6" i="21"/>
  <c r="AI133" i="1"/>
  <c r="AI128" i="1"/>
  <c r="AI126" i="1"/>
  <c r="AI125" i="1"/>
  <c r="M106" i="1"/>
  <c r="N106" i="1" s="1"/>
  <c r="O106" i="1" s="1"/>
  <c r="W144" i="1"/>
  <c r="S144" i="1"/>
  <c r="R144" i="1"/>
  <c r="L109" i="1"/>
  <c r="R105" i="1" l="1"/>
  <c r="AF103" i="1"/>
  <c r="E81" i="22"/>
  <c r="G82" i="22" s="1"/>
  <c r="G83" i="22" s="1"/>
  <c r="D36" i="21"/>
  <c r="H18" i="21"/>
  <c r="H19" i="21" s="1"/>
  <c r="F31" i="21"/>
  <c r="F48" i="21"/>
  <c r="E36" i="21"/>
  <c r="E49" i="21"/>
  <c r="C31" i="21"/>
  <c r="C48" i="21"/>
  <c r="B7" i="21"/>
  <c r="S109"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109"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17"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47" i="1"/>
  <c r="S147" i="1"/>
  <c r="W76" i="1"/>
  <c r="S77" i="1"/>
  <c r="W75" i="1"/>
  <c r="S75" i="1"/>
  <c r="R75" i="1"/>
  <c r="L61" i="21" l="1"/>
  <c r="M61" i="21"/>
  <c r="P61" i="21"/>
  <c r="O61" i="21"/>
  <c r="I38" i="21"/>
  <c r="I61" i="21"/>
  <c r="G35" i="21"/>
  <c r="G37" i="21" s="1"/>
  <c r="G40" i="21" s="1"/>
  <c r="W77" i="1"/>
  <c r="R147" i="1"/>
  <c r="R77" i="1"/>
  <c r="M62" i="21" l="1"/>
  <c r="M63" i="21" s="1"/>
  <c r="P62" i="21"/>
  <c r="P63" i="21" s="1"/>
  <c r="G61" i="21"/>
  <c r="G38" i="21"/>
  <c r="L112" i="1"/>
  <c r="Z112" i="1" s="1"/>
  <c r="L111" i="1"/>
  <c r="L110" i="1"/>
  <c r="P110" i="1"/>
  <c r="L96" i="1"/>
  <c r="Z96" i="1" l="1"/>
  <c r="C11" i="24"/>
  <c r="I62" i="21"/>
  <c r="I63" i="21" s="1"/>
  <c r="Z111" i="1"/>
  <c r="C13" i="24"/>
  <c r="AG96" i="1"/>
  <c r="M68" i="1"/>
  <c r="I68" i="1"/>
  <c r="E68" i="1"/>
  <c r="Z4" i="1"/>
  <c r="U2" i="1"/>
  <c r="R3" i="1"/>
  <c r="Q3" i="1"/>
  <c r="H4" i="36" s="1"/>
  <c r="P3" i="1"/>
  <c r="H16" i="36" l="1"/>
  <c r="H34" i="36"/>
  <c r="G4" i="36"/>
  <c r="F4" i="36"/>
  <c r="AI110" i="1"/>
  <c r="W104" i="1"/>
  <c r="S104" i="1"/>
  <c r="G34" i="36" l="1"/>
  <c r="G16" i="36"/>
  <c r="F34" i="36"/>
  <c r="F16" i="36"/>
  <c r="AH117" i="1"/>
  <c r="AG117" i="1"/>
  <c r="AF117" i="1"/>
  <c r="R104" i="1"/>
  <c r="S117" i="1" l="1"/>
  <c r="R117"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AF106" i="1"/>
  <c r="AF100" i="1"/>
  <c r="W143" i="1" l="1"/>
  <c r="K95" i="20" l="1"/>
  <c r="J95" i="20"/>
  <c r="F95" i="20"/>
  <c r="S143" i="1"/>
  <c r="E95" i="20" l="1"/>
  <c r="R143" i="1"/>
  <c r="G95" i="20" l="1"/>
  <c r="Q131" i="1"/>
  <c r="Q139" i="1"/>
  <c r="Q107" i="1"/>
  <c r="F70" i="20" s="1"/>
  <c r="Q58" i="1"/>
  <c r="Q47" i="1"/>
  <c r="Q42" i="1"/>
  <c r="Q140" i="1" l="1"/>
  <c r="D11" i="35" s="1"/>
  <c r="J3" i="20"/>
  <c r="Q121" i="1" l="1"/>
  <c r="K10" i="20"/>
  <c r="K11" i="20"/>
  <c r="J10" i="20"/>
  <c r="J11" i="20"/>
  <c r="E55" i="20"/>
  <c r="F55" i="20"/>
  <c r="J55" i="20"/>
  <c r="K55" i="20"/>
  <c r="G55" i="20" l="1"/>
  <c r="H55" i="20"/>
  <c r="L55" i="20"/>
  <c r="W56" i="1"/>
  <c r="S56" i="1"/>
  <c r="R56" i="1" l="1"/>
  <c r="E38" i="20" l="1"/>
  <c r="F38" i="20"/>
  <c r="J38" i="20"/>
  <c r="K38" i="20"/>
  <c r="G38" i="20" l="1"/>
  <c r="L38" i="20"/>
  <c r="H38" i="20"/>
  <c r="R148" i="1"/>
  <c r="R146" i="1"/>
  <c r="R145" i="1"/>
  <c r="R138" i="1"/>
  <c r="R137" i="1"/>
  <c r="R136" i="1"/>
  <c r="R135" i="1"/>
  <c r="R134" i="1"/>
  <c r="R133" i="1"/>
  <c r="R130" i="1"/>
  <c r="R129" i="1"/>
  <c r="R128" i="1"/>
  <c r="R127" i="1"/>
  <c r="R126" i="1"/>
  <c r="R125" i="1"/>
  <c r="R120" i="1"/>
  <c r="R116" i="1"/>
  <c r="R114" i="1"/>
  <c r="R106" i="1"/>
  <c r="R102" i="1"/>
  <c r="R100" i="1"/>
  <c r="R96" i="1"/>
  <c r="R98" i="1" s="1"/>
  <c r="R81" i="1"/>
  <c r="R79" i="1"/>
  <c r="R73" i="1"/>
  <c r="R63" i="1"/>
  <c r="R61" i="1"/>
  <c r="R60" i="1"/>
  <c r="R55" i="1"/>
  <c r="R49" i="1"/>
  <c r="R46" i="1"/>
  <c r="R44" i="1"/>
  <c r="R40" i="1"/>
  <c r="R37" i="1"/>
  <c r="R36" i="1"/>
  <c r="R35" i="1"/>
  <c r="R34" i="1"/>
  <c r="R33" i="1"/>
  <c r="R149" i="1" l="1"/>
  <c r="R131" i="1"/>
  <c r="R139" i="1"/>
  <c r="R47" i="1"/>
  <c r="R140" i="1" l="1"/>
  <c r="S37" i="1" l="1"/>
  <c r="W37" i="1"/>
  <c r="F4" i="20" l="1"/>
  <c r="E4" i="20"/>
  <c r="K4" i="20"/>
  <c r="J4" i="20"/>
  <c r="W44" i="1"/>
  <c r="S44"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79" i="1"/>
  <c r="S79" i="1"/>
  <c r="J66" i="20" l="1"/>
  <c r="K66" i="20"/>
  <c r="K48" i="20"/>
  <c r="J83" i="20"/>
  <c r="J39" i="20"/>
  <c r="J13" i="20"/>
  <c r="J43" i="20"/>
  <c r="K83" i="20"/>
  <c r="K91" i="20"/>
  <c r="J48" i="20"/>
  <c r="J91" i="20"/>
  <c r="K13" i="20"/>
  <c r="K43" i="20"/>
  <c r="J92" i="20" l="1"/>
  <c r="K92" i="20"/>
  <c r="R64" i="1"/>
  <c r="R65" i="1"/>
  <c r="R54" i="1"/>
  <c r="R57" i="1"/>
  <c r="R51" i="1"/>
  <c r="R41" i="1"/>
  <c r="W74" i="1"/>
  <c r="R68" i="1" l="1"/>
  <c r="R42" i="1"/>
  <c r="R58"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AF115" i="1"/>
  <c r="AG115" i="1"/>
  <c r="AH115" i="1"/>
  <c r="F66" i="20"/>
  <c r="R115"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W116" i="1"/>
  <c r="S116" i="1"/>
  <c r="H91" i="20" l="1"/>
  <c r="E15" i="20" l="1"/>
  <c r="R14" i="1"/>
  <c r="H15" i="20" l="1"/>
  <c r="G15" i="20"/>
  <c r="R110" i="1"/>
  <c r="R103" i="1" l="1"/>
  <c r="R107"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V47" i="1" l="1"/>
  <c r="U47" i="1"/>
  <c r="P47" i="1"/>
  <c r="W46" i="1"/>
  <c r="S46" i="1"/>
  <c r="W47" i="1" l="1"/>
  <c r="S47" i="1"/>
  <c r="S148" i="1" l="1"/>
  <c r="S146" i="1"/>
  <c r="S145" i="1"/>
  <c r="S138" i="1"/>
  <c r="S137" i="1"/>
  <c r="S136" i="1"/>
  <c r="S135" i="1"/>
  <c r="S134" i="1"/>
  <c r="S133" i="1"/>
  <c r="S130" i="1"/>
  <c r="S129" i="1"/>
  <c r="S128" i="1"/>
  <c r="S127" i="1"/>
  <c r="S126" i="1"/>
  <c r="S125" i="1"/>
  <c r="S120" i="1"/>
  <c r="S115" i="1"/>
  <c r="S114" i="1"/>
  <c r="S110" i="1"/>
  <c r="S106" i="1"/>
  <c r="S103" i="1"/>
  <c r="S102" i="1"/>
  <c r="S100" i="1"/>
  <c r="S96" i="1"/>
  <c r="S81" i="1"/>
  <c r="S73" i="1"/>
  <c r="S65" i="1"/>
  <c r="S64" i="1"/>
  <c r="S63" i="1"/>
  <c r="S61" i="1"/>
  <c r="S60" i="1"/>
  <c r="S57" i="1"/>
  <c r="S55" i="1"/>
  <c r="S54" i="1"/>
  <c r="S51" i="1"/>
  <c r="S49" i="1"/>
  <c r="S41" i="1"/>
  <c r="S40" i="1"/>
  <c r="S36" i="1"/>
  <c r="S35" i="1"/>
  <c r="S34" i="1"/>
  <c r="S33" i="1"/>
  <c r="S14" i="1"/>
  <c r="W7" i="1"/>
  <c r="W148" i="1"/>
  <c r="W145" i="1"/>
  <c r="W138" i="1"/>
  <c r="W137" i="1"/>
  <c r="W136" i="1"/>
  <c r="W135" i="1"/>
  <c r="W134" i="1"/>
  <c r="W133" i="1"/>
  <c r="W130" i="1"/>
  <c r="W129" i="1"/>
  <c r="W128" i="1"/>
  <c r="W127" i="1"/>
  <c r="W126" i="1"/>
  <c r="W125" i="1"/>
  <c r="W120" i="1"/>
  <c r="W119" i="1"/>
  <c r="W118" i="1"/>
  <c r="W115" i="1"/>
  <c r="W114" i="1"/>
  <c r="W110" i="1"/>
  <c r="W106" i="1"/>
  <c r="W103" i="1"/>
  <c r="W102" i="1"/>
  <c r="W100" i="1"/>
  <c r="W96" i="1"/>
  <c r="W81" i="1"/>
  <c r="W78" i="1"/>
  <c r="W73" i="1"/>
  <c r="W65" i="1"/>
  <c r="W64" i="1"/>
  <c r="W63" i="1"/>
  <c r="W61" i="1"/>
  <c r="W60" i="1"/>
  <c r="W57" i="1"/>
  <c r="W55" i="1"/>
  <c r="W54" i="1"/>
  <c r="W51" i="1"/>
  <c r="W49" i="1"/>
  <c r="W41" i="1"/>
  <c r="W40" i="1"/>
  <c r="W36" i="1"/>
  <c r="W35" i="1"/>
  <c r="W34" i="1"/>
  <c r="W33" i="1"/>
  <c r="W32" i="1"/>
  <c r="W29" i="1"/>
  <c r="W15" i="1"/>
  <c r="W14" i="1"/>
  <c r="W11" i="1"/>
  <c r="W10" i="1"/>
  <c r="W9" i="1"/>
  <c r="W8" i="1"/>
  <c r="V12" i="1"/>
  <c r="V16" i="1"/>
  <c r="V38" i="1"/>
  <c r="V42" i="1"/>
  <c r="V58" i="1"/>
  <c r="V121" i="1"/>
  <c r="V131" i="1"/>
  <c r="V139" i="1"/>
  <c r="U139" i="1"/>
  <c r="U131" i="1"/>
  <c r="U121" i="1"/>
  <c r="U107" i="1"/>
  <c r="U82" i="1"/>
  <c r="U58" i="1"/>
  <c r="U42" i="1"/>
  <c r="U38" i="1"/>
  <c r="U16" i="1"/>
  <c r="U12" i="1"/>
  <c r="P139" i="1"/>
  <c r="P131" i="1"/>
  <c r="P58" i="1"/>
  <c r="P42" i="1"/>
  <c r="J70" i="20" l="1"/>
  <c r="J74" i="20" s="1"/>
  <c r="J103" i="20" s="1"/>
  <c r="J104" i="20" s="1"/>
  <c r="U122" i="1"/>
  <c r="C10" i="35" s="1"/>
  <c r="AK82" i="1"/>
  <c r="AK151" i="1" s="1"/>
  <c r="AJ82" i="1"/>
  <c r="AJ151" i="1" s="1"/>
  <c r="AL82" i="1"/>
  <c r="AL151" i="1" s="1"/>
  <c r="V69" i="1"/>
  <c r="U69" i="1"/>
  <c r="C9" i="35" s="1"/>
  <c r="S58" i="1"/>
  <c r="S98" i="1"/>
  <c r="U17" i="1"/>
  <c r="S149" i="1"/>
  <c r="S139" i="1"/>
  <c r="W98" i="1"/>
  <c r="W58" i="1"/>
  <c r="W16" i="1"/>
  <c r="S42" i="1"/>
  <c r="W42" i="1"/>
  <c r="W121" i="1"/>
  <c r="W12" i="1"/>
  <c r="S131" i="1"/>
  <c r="W131" i="1"/>
  <c r="W139" i="1"/>
  <c r="W68" i="1"/>
  <c r="W38" i="1"/>
  <c r="V140" i="1"/>
  <c r="V17" i="1"/>
  <c r="V154" i="1" s="1"/>
  <c r="U140" i="1"/>
  <c r="C11" i="35" s="1"/>
  <c r="P140" i="1"/>
  <c r="B11" i="35" s="1"/>
  <c r="C5" i="35" l="1"/>
  <c r="C12" i="35"/>
  <c r="U154" i="1"/>
  <c r="W154" i="1" s="1"/>
  <c r="W17" i="1"/>
  <c r="S140" i="1"/>
  <c r="W69" i="1"/>
  <c r="W140" i="1"/>
  <c r="C14" i="35" l="1"/>
  <c r="C24" i="35" s="1"/>
  <c r="J107" i="20"/>
  <c r="J108" i="20" s="1"/>
  <c r="F5" i="34" s="1"/>
  <c r="F7" i="34" s="1"/>
  <c r="F12" i="34" s="1"/>
  <c r="F14" i="34" l="1"/>
  <c r="J12" i="34"/>
  <c r="V82" i="1" l="1"/>
  <c r="W72" i="1"/>
  <c r="AM82" i="1" l="1"/>
  <c r="AM151" i="1" s="1"/>
  <c r="W82" i="1"/>
  <c r="P107" i="1" l="1"/>
  <c r="P118" i="1" s="1"/>
  <c r="R118" i="1" l="1"/>
  <c r="E70" i="20"/>
  <c r="S107" i="1"/>
  <c r="E71" i="20" l="1"/>
  <c r="AG118" i="1"/>
  <c r="AH118" i="1"/>
  <c r="AF118" i="1"/>
  <c r="R119" i="1" l="1"/>
  <c r="S119" i="1"/>
  <c r="V107" i="1"/>
  <c r="V122" i="1" l="1"/>
  <c r="K70" i="20"/>
  <c r="K74" i="20" s="1"/>
  <c r="L73" i="20"/>
  <c r="W107"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8" i="1"/>
  <c r="E33" i="20"/>
  <c r="S32" i="1"/>
  <c r="F33" i="20"/>
  <c r="F39" i="20" s="1"/>
  <c r="Q38" i="1"/>
  <c r="R32" i="1"/>
  <c r="R38" i="1" s="1"/>
  <c r="R69" i="1" s="1"/>
  <c r="E39" i="20" l="1"/>
  <c r="E67" i="20" s="1"/>
  <c r="G33" i="20"/>
  <c r="G39" i="20" s="1"/>
  <c r="G67" i="20" s="1"/>
  <c r="S38" i="1"/>
  <c r="Q69" i="1"/>
  <c r="H33" i="20"/>
  <c r="F67" i="20"/>
  <c r="D9" i="35" l="1"/>
  <c r="H39" i="20"/>
  <c r="H67" i="20"/>
  <c r="S118" i="1" l="1"/>
  <c r="R121" i="1"/>
  <c r="P121" i="1"/>
  <c r="S121" i="1" l="1"/>
  <c r="U151" i="1" l="1"/>
  <c r="U152" i="1" s="1"/>
  <c r="U155" i="1" l="1"/>
  <c r="U156" i="1" s="1"/>
  <c r="V151" i="1" l="1"/>
  <c r="W151" i="1" s="1"/>
  <c r="W122" i="1"/>
  <c r="V155" i="1" l="1"/>
  <c r="W155" i="1" s="1"/>
  <c r="V152" i="1"/>
  <c r="V156" i="1" l="1"/>
  <c r="E6" i="21"/>
  <c r="E7" i="21" s="1"/>
  <c r="E11" i="21" s="1"/>
  <c r="E16" i="21" s="1"/>
  <c r="E18" i="21" l="1"/>
  <c r="E19" i="21" s="1"/>
  <c r="E34" i="21" l="1"/>
  <c r="E35" i="21" s="1"/>
  <c r="E37" i="21" s="1"/>
  <c r="E47" i="21"/>
  <c r="E50" i="21" s="1"/>
  <c r="E51" i="21" s="1"/>
  <c r="E38" i="21" l="1"/>
  <c r="E39" i="21" s="1"/>
  <c r="E61" i="21"/>
  <c r="E65" i="21" s="1"/>
  <c r="S68" i="1"/>
  <c r="P69" i="1"/>
  <c r="B9" i="35" l="1"/>
  <c r="S69" i="1"/>
  <c r="S15" i="1" l="1"/>
  <c r="F16" i="20"/>
  <c r="H16" i="20" s="1"/>
  <c r="R15" i="1"/>
  <c r="E16" i="20"/>
  <c r="Q16" i="1"/>
  <c r="F17" i="20" l="1"/>
  <c r="P16" i="1"/>
  <c r="E17" i="20" l="1"/>
  <c r="G17" i="20"/>
  <c r="R16" i="1"/>
  <c r="S16" i="1"/>
  <c r="H17" i="20" l="1"/>
  <c r="G30" i="20" l="1"/>
  <c r="AH29" i="1"/>
  <c r="S29"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72" i="1"/>
  <c r="R72" i="1"/>
  <c r="Q40" i="21"/>
  <c r="G70" i="20" l="1"/>
  <c r="R76" i="1"/>
  <c r="R74" i="1"/>
  <c r="S74" i="1"/>
  <c r="P82" i="1"/>
  <c r="Q61" i="21"/>
  <c r="Q62" i="21" s="1"/>
  <c r="Q63" i="21" s="1"/>
  <c r="H70" i="20"/>
  <c r="F73" i="20" l="1"/>
  <c r="F74" i="20" s="1"/>
  <c r="F103" i="20" s="1"/>
  <c r="F107" i="20" s="1"/>
  <c r="S76" i="1"/>
  <c r="C6" i="24"/>
  <c r="Q82" i="1"/>
  <c r="Q122" i="1" s="1"/>
  <c r="D10" i="35" s="1"/>
  <c r="D12" i="35" s="1"/>
  <c r="R78" i="1"/>
  <c r="R82" i="1" s="1"/>
  <c r="R122" i="1" s="1"/>
  <c r="R151" i="1" s="1"/>
  <c r="S78" i="1"/>
  <c r="AI82" i="1"/>
  <c r="AI151" i="1" s="1"/>
  <c r="AG82" i="1"/>
  <c r="AG151" i="1" s="1"/>
  <c r="P122" i="1"/>
  <c r="AF82" i="1"/>
  <c r="AF151" i="1" s="1"/>
  <c r="AH82" i="1"/>
  <c r="AH151" i="1" s="1"/>
  <c r="G73" i="20" l="1"/>
  <c r="H73" i="20"/>
  <c r="G71" i="20"/>
  <c r="S82" i="1"/>
  <c r="E74" i="20"/>
  <c r="H74" i="20" s="1"/>
  <c r="H71" i="20"/>
  <c r="Q151" i="1"/>
  <c r="Q155" i="1" s="1"/>
  <c r="S122" i="1"/>
  <c r="P151" i="1"/>
  <c r="B10" i="35"/>
  <c r="B12" i="35" s="1"/>
  <c r="E103" i="20" l="1"/>
  <c r="H103" i="20" s="1"/>
  <c r="G74" i="20"/>
  <c r="G103" i="20" s="1"/>
  <c r="S151" i="1"/>
  <c r="P155" i="1"/>
  <c r="AF152" i="1"/>
  <c r="E107" i="20" l="1"/>
  <c r="H107" i="20" s="1"/>
  <c r="G107" i="20"/>
  <c r="S155" i="1"/>
  <c r="R155" i="1"/>
  <c r="F8" i="20"/>
  <c r="F13" i="20" s="1"/>
  <c r="S7" i="1"/>
  <c r="Q12" i="1"/>
  <c r="Q17" i="1" s="1"/>
  <c r="D5" i="35" l="1"/>
  <c r="D14" i="35" s="1"/>
  <c r="D24" i="35" s="1"/>
  <c r="Q152" i="1"/>
  <c r="F18" i="20"/>
  <c r="R7" i="1"/>
  <c r="R12" i="1" s="1"/>
  <c r="R17" i="1" s="1"/>
  <c r="R152" i="1" s="1"/>
  <c r="E8" i="20"/>
  <c r="P12" i="1"/>
  <c r="Q154" i="1"/>
  <c r="H8" i="20" l="1"/>
  <c r="E13" i="20"/>
  <c r="G8" i="20"/>
  <c r="G13" i="20" s="1"/>
  <c r="G18" i="20" s="1"/>
  <c r="Q156" i="1"/>
  <c r="S12" i="1"/>
  <c r="P17" i="1"/>
  <c r="F104" i="20"/>
  <c r="F106" i="20"/>
  <c r="E18" i="20" l="1"/>
  <c r="H13" i="20"/>
  <c r="F108" i="20"/>
  <c r="P152" i="1"/>
  <c r="S152" i="1" s="1"/>
  <c r="C29" i="1"/>
  <c r="C30" i="20" s="1"/>
  <c r="B5" i="35"/>
  <c r="B14" i="35" s="1"/>
  <c r="B24" i="35" s="1"/>
  <c r="P154" i="1"/>
  <c r="S17" i="1"/>
  <c r="G106" i="20"/>
  <c r="G108" i="20" s="1"/>
  <c r="G104" i="20"/>
  <c r="P156" i="1" l="1"/>
  <c r="R154" i="1"/>
  <c r="S154" i="1"/>
  <c r="E106" i="20"/>
  <c r="E104" i="20"/>
  <c r="H104" i="20" s="1"/>
  <c r="H18" i="20"/>
  <c r="R156" i="1" l="1"/>
  <c r="H5" i="34"/>
  <c r="H7" i="34" s="1"/>
  <c r="S156" i="1"/>
  <c r="E108" i="20"/>
  <c r="H106" i="20"/>
</calcChain>
</file>

<file path=xl/comments1.xml><?xml version="1.0" encoding="utf-8"?>
<comments xmlns="http://schemas.openxmlformats.org/spreadsheetml/2006/main">
  <authors>
    <author>Dawn Jacobson</author>
  </authors>
  <commentList>
    <comment ref="G7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<sst xmlns="http://schemas.openxmlformats.org/spreadsheetml/2006/main" count="1290" uniqueCount="816">
  <si>
    <t>Income</t>
  </si>
  <si>
    <t>Envelope Giving</t>
  </si>
  <si>
    <t>Easter Offerings</t>
  </si>
  <si>
    <t>Thanksgiving Offerings</t>
  </si>
  <si>
    <t>Christmas Offerings</t>
  </si>
  <si>
    <t>Lenten Offerings</t>
  </si>
  <si>
    <t>Total Envelope Giving</t>
  </si>
  <si>
    <t>Misc Income</t>
  </si>
  <si>
    <t>Total 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</si>
  <si>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</si>
  <si>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</si>
  <si>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</si>
  <si>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</si>
  <si>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</si>
  <si>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</si>
  <si>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</si>
  <si>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</si>
  <si>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</si>
  <si>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</si>
  <si>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</si>
  <si>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</si>
  <si>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</si>
  <si>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</si>
  <si>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</si>
  <si>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</si>
  <si>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</si>
  <si>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</si>
  <si>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</si>
  <si>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</si>
  <si>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</si>
  <si>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</si>
  <si>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</si>
  <si>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</si>
  <si>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</si>
  <si>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</si>
  <si>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</si>
  <si>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</si>
  <si>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</si>
  <si>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</si>
  <si>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</si>
  <si>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</si>
  <si>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</si>
  <si>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</si>
  <si>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</si>
  <si>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</si>
  <si>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</si>
  <si>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</si>
  <si>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</si>
  <si>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</si>
  <si>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</si>
  <si>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</si>
  <si>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</si>
  <si>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</si>
  <si>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</si>
  <si>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</si>
  <si>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</si>
  <si>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</si>
  <si>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</si>
  <si>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</si>
  <si>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</si>
  <si>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</si>
  <si>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</si>
  <si>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</si>
  <si>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</si>
  <si>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</si>
  <si>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</si>
  <si>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</si>
  <si>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</si>
  <si>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</si>
  <si>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</si>
  <si>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</si>
  <si>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</si>
  <si>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</si>
  <si>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</si>
  <si>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</si>
  <si>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</si>
  <si>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</si>
  <si>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</si>
  <si>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</si>
  <si>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</si>
  <si>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</si>
  <si>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</si>
  <si>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</si>
  <si>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</si>
  <si>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</si>
  <si>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</si>
  <si>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</si>
  <si>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</si>
  <si>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</si>
  <si>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</si>
  <si>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</si>
  <si>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</si>
  <si>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</si>
  <si>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</si>
  <si>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</si>
  <si>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</si>
  <si>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</si>
  <si>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</si>
  <si>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</si>
  <si>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</si>
  <si>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</si>
  <si>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</si>
  <si>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</si>
  <si>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</si>
  <si>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</si>
  <si>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</si>
  <si>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</si>
  <si>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</si>
  <si>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</si>
  <si>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</si>
  <si>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</si>
  <si>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</si>
  <si>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</si>
  <si>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</si>
  <si>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</si>
  <si>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</si>
  <si>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</si>
  <si>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</si>
  <si>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</si>
  <si>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</si>
  <si>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</si>
  <si>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</si>
  <si>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</si>
  <si>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</si>
  <si>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</si>
  <si>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</si>
  <si>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</si>
  <si>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</si>
  <si>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</si>
  <si>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</si>
  <si>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</si>
  <si>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</si>
  <si>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</si>
  <si>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</si>
  <si>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</si>
  <si>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</si>
  <si>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</si>
  <si>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</si>
  <si>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</si>
  <si>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</si>
  <si>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</si>
  <si>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</si>
  <si>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</si>
  <si>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</si>
  <si>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</si>
  <si>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</si>
  <si>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</si>
  <si>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</si>
  <si>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</si>
  <si>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</si>
  <si>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</si>
  <si>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</si>
  <si>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</si>
  <si>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</si>
  <si>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</si>
  <si>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</si>
  <si>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</si>
  <si>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</si>
  <si>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</si>
  <si>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</si>
  <si>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</si>
  <si>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</si>
  <si>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</si>
  <si>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</si>
  <si>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</si>
  <si>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</si>
  <si>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</si>
  <si>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</si>
  <si>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</si>
  <si>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</si>
  <si>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</si>
  <si>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</si>
  <si>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</si>
  <si>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</si>
  <si>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</si>
  <si>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</si>
  <si>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</si>
  <si>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</si>
  <si>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</si>
  <si>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</si>
  <si>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</si>
  <si>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</si>
  <si>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</si>
  <si>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</si>
  <si>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</si>
  <si>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</si>
  <si>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</si>
  <si>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</si>
  <si>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</si>
  <si>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</si>
  <si>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</si>
  <si>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</si>
  <si>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</si>
  <si>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</si>
  <si>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</si>
  <si>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</si>
  <si>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</si>
  <si>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</si>
  <si>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</si>
  <si>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</si>
  <si>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</si>
  <si>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</si>
  <si>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</si>
  <si>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</si>
  <si>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</si>
  <si>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</si>
  <si>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</si>
  <si>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</si>
  <si>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</si>
  <si>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</si>
  <si>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</si>
  <si>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</si>
  <si>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</si>
  <si>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</si>
  <si>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</si>
  <si>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</si>
  <si>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</si>
  <si>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</si>
  <si>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</si>
  <si>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</si>
  <si>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</si>
  <si>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</si>
  <si>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</si>
  <si>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</si>
  <si>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</si>
  <si>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</si>
  <si>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</si>
  <si>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</si>
  <si>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</si>
  <si>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</si>
  <si>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</si>
  <si>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</si>
  <si>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</si>
  <si>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</si>
  <si>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</si>
  <si>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</si>
  <si>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</si>
  <si>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</si>
  <si>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</si>
  <si>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</si>
  <si>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</si>
  <si>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</si>
  <si>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</si>
  <si>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</si>
  <si>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</si>
  <si>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</si>
  <si>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</si>
  <si>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</si>
  <si>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</si>
  <si>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</si>
  <si>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</si>
  <si>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</si>
  <si>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</si>
  <si>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</si>
  <si>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</si>
  <si>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</si>
  <si>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</si>
  <si>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</si>
  <si>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</si>
  <si>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</si>
  <si>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</si>
  <si>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</si>
  <si>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</si>
  <si>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</si>
  <si>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</si>
  <si>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</si>
  <si>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</si>
  <si>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</si>
  <si>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</si>
  <si>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</si>
  <si>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</si>
  <si>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</si>
  <si>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</si>
  <si>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</si>
  <si>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</si>
  <si>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</si>
  <si>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</si>
  <si>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</si>
  <si>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</si>
  <si>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</si>
  <si>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</si>
  <si>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</si>
  <si>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</si>
  <si>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</si>
  <si>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</si>
  <si>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</si>
  <si>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</si>
  <si>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</si>
  <si>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</si>
  <si>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</si>
  <si>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</si>
  <si>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</si>
  <si>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</si>
  <si>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</si>
  <si>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</si>
  <si>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</si>
  <si>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</si>
  <si>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</si>
  <si>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</si>
  <si>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</si>
  <si>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</si>
  <si>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</si>
  <si>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</si>
  <si>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</si>
  <si>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</si>
  <si>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</si>
  <si>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</si>
  <si>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</si>
  <si>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</si>
  <si>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</si>
  <si>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</si>
  <si>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</si>
  <si>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</si>
  <si>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</si>
  <si>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</si>
  <si>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</si>
  <si>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</si>
  <si>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</si>
  <si>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</si>
  <si>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</si>
  <si>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</si>
  <si>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</si>
  <si>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</si>
  <si>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</si>
  <si>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</si>
  <si>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</si>
  <si>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</si>
  <si>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</si>
  <si>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</si>
  <si>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</si>
  <si>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</si>
  <si>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</si>
  <si>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</si>
  <si>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</si>
  <si>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</si>
  <si>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</si>
  <si>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</si>
  <si>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</si>
  <si>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</si>
  <si>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</si>
  <si>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</si>
  <si>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</si>
  <si>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</si>
  <si>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</si>
  <si>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</si>
  <si>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</si>
  <si>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</si>
  <si>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</si>
  <si>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</si>
  <si>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</si>
  <si>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</si>
  <si>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</si>
  <si>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</si>
  <si>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</si>
  <si>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</si>
  <si>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</si>
  <si>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</si>
  <si>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</si>
  <si>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</si>
  <si>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</si>
  <si>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</si>
  <si>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</si>
  <si>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</si>
  <si>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</si>
  <si>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</si>
  <si>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</si>
  <si>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</si>
  <si>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</si>
  <si>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</si>
  <si>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</si>
  <si>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</si>
  <si>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</si>
  <si>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</si>
  <si>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</si>
  <si>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</si>
  <si>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</si>
  <si>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</si>
  <si>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</si>
  <si>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</si>
  <si>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</si>
  <si>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</si>
  <si>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</si>
  <si>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</si>
  <si>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</si>
  <si>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</si>
  <si>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</si>
  <si>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</si>
  <si>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</si>
  <si>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</si>
  <si>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</si>
  <si>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</si>
  <si>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</si>
  <si>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</si>
  <si>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</si>
  <si>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</si>
  <si>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</si>
  <si>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</si>
  <si>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</si>
  <si>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</si>
  <si>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</si>
  <si>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</si>
  <si>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</si>
  <si>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</si>
  <si>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</si>
  <si>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</si>
  <si>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</si>
  <si>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</si>
  <si>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</si>
  <si>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</si>
  <si>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</si>
  <si>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</si>
  <si>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</si>
  <si>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</si>
  <si>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</si>
  <si>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</si>
  <si>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</si>
  <si>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</si>
  <si>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</si>
  <si>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</si>
  <si>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</si>
  <si>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</si>
  <si>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</si>
  <si>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</si>
  <si>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</si>
  <si>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</si>
  <si>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</si>
  <si>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</si>
  <si>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</si>
  <si>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</si>
  <si>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2022:  Reduced due change in curriculum, eliminating weekly handouts, and less students</t>
  </si>
  <si>
    <t>Church &amp; Community Outreach</t>
  </si>
  <si>
    <t xml:space="preserve">     Conf.  Synold Assembly is incl under</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</si>
  <si>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</si>
  <si>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</si>
  <si>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</si>
  <si>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</si>
  <si>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</si>
  <si>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</si>
  <si>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</si>
  <si>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</si>
  <si>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</si>
  <si>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</si>
  <si>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</si>
  <si>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</si>
  <si>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</si>
  <si>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</si>
  <si>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</si>
  <si>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</si>
  <si>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</si>
  <si>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</si>
  <si>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</si>
  <si>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</si>
  <si>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</si>
  <si>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</si>
  <si>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</si>
  <si>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Sound and Live Stream Support</t>
  </si>
  <si>
    <t>2022:  Added a live stream support position for both services.</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</si>
  <si>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</si>
  <si>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</si>
  <si>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</si>
  <si>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</si>
  <si>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</si>
  <si>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</si>
  <si>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</si>
  <si>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2022:  Might be able to reduce another $1,500 if needed.</t>
  </si>
  <si>
    <t>L. Jacobson.  Consider this position as part of staff.</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</si>
  <si>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</si>
  <si>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</si>
  <si>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</si>
  <si>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</si>
  <si>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</si>
  <si>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</si>
  <si>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</si>
  <si>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</si>
  <si>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</si>
  <si>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</si>
  <si>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</si>
  <si>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</si>
  <si>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</si>
  <si>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</si>
  <si>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</si>
  <si>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</si>
  <si>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</si>
  <si>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</si>
  <si>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</si>
  <si>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</si>
  <si>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</si>
  <si>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</si>
  <si>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</si>
  <si>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</si>
  <si>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</si>
  <si>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</si>
  <si>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</si>
  <si>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</si>
  <si>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</si>
  <si>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</si>
  <si>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</si>
  <si>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</si>
  <si>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</si>
  <si>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</si>
  <si>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</si>
  <si>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</si>
  <si>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</si>
  <si>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</si>
  <si>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</si>
  <si>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</si>
  <si>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</si>
  <si>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</si>
  <si>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</si>
  <si>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</si>
  <si>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</si>
  <si>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</si>
  <si>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</si>
  <si>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</si>
  <si>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</si>
  <si>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</si>
  <si>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Include 3 Congregation members and 2 Pastor (usually $200/person)</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</si>
  <si>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</si>
  <si>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</si>
  <si>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</si>
  <si>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</si>
  <si>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</si>
  <si>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</si>
  <si>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</si>
  <si>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</si>
  <si>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</si>
  <si>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</si>
  <si>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</si>
  <si>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</si>
  <si>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</si>
  <si>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</si>
  <si>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</si>
  <si>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</si>
  <si>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</si>
  <si>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</si>
  <si>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</si>
  <si>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</si>
  <si>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</si>
  <si>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</si>
  <si>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</si>
  <si>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</si>
  <si>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</si>
  <si>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</si>
  <si>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</si>
  <si>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</si>
  <si>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</si>
  <si>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</si>
  <si>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</si>
  <si>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</si>
  <si>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</si>
  <si>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</si>
  <si>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</si>
  <si>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</si>
  <si>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</si>
  <si>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</si>
  <si>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</si>
  <si>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</si>
  <si>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</si>
  <si>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</si>
  <si>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</si>
  <si>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</si>
  <si>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</si>
  <si>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</si>
  <si>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</si>
  <si>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</si>
  <si>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</si>
  <si>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</si>
  <si>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</si>
  <si>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</si>
  <si>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</si>
  <si>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</si>
  <si>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</si>
  <si>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</si>
  <si>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</si>
  <si>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</si>
  <si>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</si>
  <si>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</si>
  <si>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</si>
  <si>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</si>
  <si>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</si>
  <si>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</si>
  <si>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</si>
  <si>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</si>
  <si>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</si>
  <si>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</si>
  <si>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</si>
  <si>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</si>
  <si>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</si>
  <si>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</si>
  <si>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</si>
  <si>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</si>
  <si>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</si>
  <si>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</si>
  <si>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</si>
  <si>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</si>
  <si>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</si>
  <si>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</si>
  <si>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Anton - updated software for Laptop</t>
  </si>
  <si>
    <t>Okay</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</si>
  <si>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</si>
  <si>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</si>
  <si>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</si>
  <si>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</si>
  <si>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</si>
  <si>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</si>
  <si>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Join with Mt Pleasant?  Significantly reduced # of youth.  And Youth Policy. Merge with Parish Ed.  Considering PT youth staff</t>
  </si>
  <si>
    <t>$890 in May for 4 people to attend</t>
  </si>
  <si>
    <t>2023 Budget</t>
  </si>
  <si>
    <t>1/16/18-7/30/22</t>
  </si>
  <si>
    <t>Currently at ELCA guidelines.  P. Kelly may choose to buy back additional weeks of vacation</t>
  </si>
  <si>
    <t>ELCA guidelines is 2% for 1 additional year experience, 4% COLA and ?% Merit</t>
  </si>
  <si>
    <t>All band members get $60/Sunday</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</si>
  <si>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</si>
  <si>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</si>
  <si>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</si>
  <si>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</si>
  <si>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</si>
  <si>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</si>
  <si>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</si>
  <si>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</si>
  <si>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</si>
  <si>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</si>
  <si>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</si>
  <si>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</si>
  <si>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Took out the back fill for Glenn….assume his salary covers if he is not working</t>
  </si>
  <si>
    <t>All Volunteers but will we need to pay going forward?</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</si>
  <si>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</si>
  <si>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</si>
  <si>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</si>
  <si>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</si>
  <si>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</si>
  <si>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</si>
  <si>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</si>
  <si>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</si>
  <si>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</si>
  <si>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</si>
  <si>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</si>
  <si>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</si>
  <si>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</si>
  <si>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</si>
  <si>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</si>
  <si>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</si>
  <si>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</si>
  <si>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</si>
  <si>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</si>
  <si>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</si>
  <si>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</si>
  <si>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</si>
  <si>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</si>
  <si>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</si>
  <si>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</si>
  <si>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</si>
  <si>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</si>
  <si>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</si>
  <si>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</si>
  <si>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</si>
  <si>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</si>
  <si>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</si>
  <si>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</si>
  <si>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</si>
  <si>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</si>
  <si>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</si>
  <si>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</si>
  <si>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</si>
  <si>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</si>
  <si>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</si>
  <si>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</si>
  <si>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</si>
  <si>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</si>
  <si>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</si>
  <si>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</si>
  <si>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</si>
  <si>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</si>
  <si>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</si>
  <si>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</si>
  <si>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</si>
  <si>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</si>
  <si>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</si>
  <si>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</si>
  <si>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</si>
  <si>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</si>
  <si>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</si>
  <si>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</si>
  <si>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</si>
  <si>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</si>
  <si>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</si>
  <si>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</si>
  <si>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</si>
  <si>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</si>
  <si>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</si>
  <si>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</si>
  <si>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</si>
  <si>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</si>
  <si>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</si>
  <si>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</si>
  <si>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</si>
  <si>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</si>
  <si>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</si>
  <si>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</si>
  <si>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</si>
  <si>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</si>
  <si>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</si>
  <si>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</si>
  <si>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</si>
  <si>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</si>
  <si>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</si>
  <si>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</si>
  <si>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</si>
  <si>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</si>
  <si>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</si>
  <si>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</si>
  <si>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</si>
  <si>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</si>
  <si>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</si>
  <si>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</si>
  <si>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</si>
  <si>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</si>
  <si>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</si>
  <si>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2023 Budget Notes"</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</si>
  <si>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</si>
  <si>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</si>
  <si>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</si>
  <si>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</si>
  <si>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</si>
  <si>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</si>
  <si>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</si>
  <si>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</si>
  <si>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</si>
  <si>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</si>
  <si>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</si>
  <si>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</si>
  <si>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</si>
  <si>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</si>
  <si>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</si>
  <si>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</si>
  <si>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</si>
  <si>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</si>
  <si>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</si>
  <si>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</si>
  <si>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</si>
  <si>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</si>
  <si>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</si>
  <si>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</si>
  <si>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</si>
  <si>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</si>
  <si>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Verify with Cheryl if changed?</t>
  </si>
  <si>
    <t xml:space="preserve">   11 years would be $74,671 or</t>
  </si>
  <si>
    <t>Tony Baumgardt - LCR Council President</t>
  </si>
  <si>
    <t>Dawn Jacobson - Council Treasurer and Finance Committee Chair</t>
  </si>
  <si>
    <t>SECA Ch Portion (FICA Tax:  7.65%)</t>
  </si>
  <si>
    <t>Sr. Pastor Healthcare Premium</t>
  </si>
  <si>
    <t>Same per Jeff Wunderle</t>
  </si>
  <si>
    <t>$125 for RIC advertisement</t>
  </si>
  <si>
    <t>Start 9/9/2023</t>
  </si>
  <si>
    <t>If we grow in # of youth this will be needed.</t>
  </si>
  <si>
    <t>Total  Sound</t>
  </si>
  <si>
    <t>Added paid Sound person for each service</t>
  </si>
  <si>
    <t>Added paid Sound person and 2 paid set up/take down summer equipment</t>
  </si>
  <si>
    <t>Technology</t>
  </si>
  <si>
    <t>September 2023 YTD Actual</t>
  </si>
  <si>
    <t>September 2023 YTD Budget</t>
  </si>
  <si>
    <t>2023 Actual:  Sue A check was never cashed…so we reversed it.</t>
  </si>
  <si>
    <t>2023 Actual:   include the interm pastor (Pastor Paul)</t>
  </si>
  <si>
    <t>Monthly</t>
  </si>
  <si>
    <t>ShareFaith website Hosting</t>
  </si>
  <si>
    <t>Recurring: Operating Budget</t>
  </si>
  <si>
    <t>Was in</t>
  </si>
  <si>
    <t>Office Equip</t>
  </si>
  <si>
    <t>Technology Budget 2024</t>
  </si>
  <si>
    <t>Internet Service</t>
  </si>
  <si>
    <t>Adobe Acrobat Subscription</t>
  </si>
  <si>
    <t>Don't pay for this per Cheryl</t>
  </si>
  <si>
    <t>In-House Technology Support (Anton)</t>
  </si>
  <si>
    <t>Out-Trend Micro Subscription</t>
  </si>
  <si>
    <t>ATT Office@Hand Telophone Service</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</si>
  <si>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</si>
  <si>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</si>
  <si>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</si>
  <si>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</si>
  <si>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</si>
  <si>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</si>
  <si>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</si>
  <si>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</si>
  <si>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</si>
  <si>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</si>
  <si>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</si>
  <si>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</si>
  <si>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</si>
  <si>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</si>
  <si>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</si>
  <si>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Total Dedicated Fund</t>
  </si>
  <si>
    <t>Tele-conference Equipment</t>
  </si>
  <si>
    <t>2023 Year End Overage Proposal</t>
  </si>
  <si>
    <t>Technology Dedicated Fund</t>
  </si>
  <si>
    <t>RIC Dedicated Fund</t>
  </si>
  <si>
    <t>Sept YTD loose:  Some pledged/est for 2024</t>
  </si>
  <si>
    <t>Estimated Overage</t>
  </si>
  <si>
    <t>To get us to 6% of estimated income</t>
  </si>
  <si>
    <t>To get us to 8% of estimated income</t>
  </si>
  <si>
    <t>To get us to 10% of estimate income</t>
  </si>
  <si>
    <t>Remaining to Facilities Reserve</t>
  </si>
  <si>
    <t>Envelope Giving (general)</t>
  </si>
  <si>
    <t>Significant increase in attendees, materials, handouts, etc</t>
  </si>
  <si>
    <t>ELCA Outreach Center</t>
  </si>
  <si>
    <t>Recommendation from John A.</t>
  </si>
  <si>
    <t>Added per P. John</t>
  </si>
  <si>
    <t xml:space="preserve">Decreased per P. John's Recommendation $200 is for John A. </t>
  </si>
  <si>
    <t>Seeing an increase.  Will need to review all this</t>
  </si>
  <si>
    <t>Budget:  6 sundays includes mileage
Actuals:  high as we had no pastor for 9 or so months</t>
  </si>
  <si>
    <t>B&amp;G:  Decorating Fund</t>
  </si>
  <si>
    <t>Per Mary Hauch</t>
  </si>
  <si>
    <t>Moved $3.3k to Tech budget.  Added $500</t>
  </si>
  <si>
    <t>Needed training</t>
  </si>
  <si>
    <t>NEW:  $3.5k from Office Equip and $3.3k from Telephone (incremental is $2.7k)</t>
  </si>
  <si>
    <t>Budget:  $500 Christmas Party, $200 Council exit Gifts.
2023 Actual:  $ for P Kelly party, Council member rolling off gift, some visioning food</t>
  </si>
  <si>
    <t>Budget:  $3.5k moved to Tech Budget 2023.  Added $450 for usage and increases
Actual:  John's Computer purchase, higher licenses &amp;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</si>
</sst>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 numFmtId="176" formatCode="_(&quot;$&quot;* #,##0.0_);_(&quot;$&quot;* \(#,##0.0\);_(&quot;$&quot;* &quot;-&quot;??_);_(@_)"/>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sz val="12"/>
      <name val="Calibri"/>
      <family val="2"/>
      <scheme val="minor"/>
    </font>
    <font>
      <b/>
      <u/>
      <sz val="11"/>
      <color theme="1"/>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14">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6" fillId="0" borderId="0" xfId="1" applyNumberFormat="1" applyFont="1" applyAlignment="1">
      <alignment horizontal="center" vertical="center" wrapText="1"/>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6"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0" fillId="0" borderId="0" xfId="1" applyNumberFormat="1" applyFont="1" applyAlignment="1">
      <alignment horizontal="left" vertical="center" wrapText="1"/>
    </xf>
    <xf numFmtId="164" fontId="6" fillId="0" borderId="0" xfId="1" applyNumberFormat="1" applyFont="1" applyFill="1" applyAlignment="1">
      <alignment horizontal="left" vertical="center" wrapText="1"/>
    </xf>
    <xf numFmtId="164" fontId="6" fillId="10" borderId="0" xfId="1" applyNumberFormat="1" applyFont="1" applyFill="1" applyAlignment="1">
      <alignment horizontal="left" vertical="center" wrapText="1"/>
    </xf>
    <xf numFmtId="164" fontId="6" fillId="0" borderId="0" xfId="1" quotePrefix="1" applyNumberFormat="1" applyFont="1" applyAlignment="1">
      <alignment horizontal="left" vertical="center" wrapText="1"/>
    </xf>
    <xf numFmtId="164" fontId="6" fillId="0" borderId="0" xfId="1" quotePrefix="1" applyNumberFormat="1" applyFont="1" applyFill="1" applyAlignment="1">
      <alignment horizontal="left" vertical="center" wrapText="1"/>
    </xf>
    <xf numFmtId="164" fontId="11" fillId="0" borderId="0" xfId="1" applyNumberFormat="1" applyFont="1" applyAlignment="1">
      <alignment horizontal="left" vertical="center"/>
    </xf>
    <xf numFmtId="164" fontId="0" fillId="0" borderId="0" xfId="1" applyNumberFormat="1" applyFont="1" applyAlignment="1">
      <alignment horizontal="left" vertical="center"/>
    </xf>
    <xf numFmtId="164" fontId="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164" fontId="10"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1"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6" fillId="0" borderId="32" xfId="1" applyNumberFormat="1" applyFont="1" applyFill="1" applyBorder="1" applyAlignment="1">
      <alignment horizontal="left" vertical="center" wrapText="1"/>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6" fillId="0" borderId="33" xfId="1" applyNumberFormat="1" applyFont="1" applyFill="1" applyBorder="1" applyAlignment="1">
      <alignment horizontal="left" vertical="center" wrapText="1"/>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6"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1" fillId="0" borderId="34" xfId="1" applyNumberFormat="1" applyFont="1" applyFill="1" applyBorder="1" applyAlignment="1">
      <alignment horizontal="left" vertical="center" wrapText="1"/>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4" fillId="0" borderId="33" xfId="1" applyNumberFormat="1" applyFont="1" applyFill="1" applyBorder="1" applyAlignment="1">
      <alignment horizontal="center"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4" fontId="6"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44" fontId="6" fillId="0" borderId="33" xfId="1" applyNumberFormat="1" applyFont="1" applyFill="1" applyBorder="1" applyAlignment="1">
      <alignment horizontal="left" vertical="center" wrapText="1"/>
    </xf>
    <xf numFmtId="168" fontId="2" fillId="4" borderId="40" xfId="1" applyNumberFormat="1" applyFont="1" applyFill="1" applyBorder="1" applyAlignment="1">
      <alignment horizontal="center"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7" xfId="0" applyBorder="1" applyAlignment="1">
      <alignment vertical="center"/>
    </xf>
    <xf numFmtId="0" fontId="0" fillId="0" borderId="0" xfId="0"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2" fillId="11" borderId="52" xfId="0" applyFont="1" applyFill="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8" xfId="0" quotePrefix="1" applyFill="1" applyBorder="1" applyAlignment="1">
      <alignment vertical="center"/>
    </xf>
    <xf numFmtId="0" fontId="0" fillId="0" borderId="59" xfId="0" applyBorder="1" applyAlignment="1">
      <alignment vertical="center"/>
    </xf>
    <xf numFmtId="0" fontId="0" fillId="0" borderId="47" xfId="0" applyFill="1" applyBorder="1" applyAlignment="1">
      <alignment vertical="center"/>
    </xf>
    <xf numFmtId="0" fontId="0" fillId="0" borderId="45" xfId="0" applyFill="1" applyBorder="1" applyAlignment="1">
      <alignment vertical="center"/>
    </xf>
    <xf numFmtId="0" fontId="2" fillId="0" borderId="62" xfId="0" applyFont="1" applyFill="1" applyBorder="1" applyAlignment="1">
      <alignment vertical="center"/>
    </xf>
    <xf numFmtId="0" fontId="0" fillId="0" borderId="65" xfId="0" applyBorder="1" applyAlignment="1">
      <alignment vertical="center"/>
    </xf>
    <xf numFmtId="0" fontId="14" fillId="0" borderId="0" xfId="0" applyFont="1" applyFill="1" applyBorder="1" applyAlignment="1">
      <alignment horizontal="center" vertical="center"/>
    </xf>
    <xf numFmtId="0" fontId="0" fillId="0" borderId="66" xfId="0" applyBorder="1" applyAlignment="1">
      <alignment vertical="center"/>
    </xf>
    <xf numFmtId="0" fontId="0" fillId="0" borderId="69"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70" xfId="0" applyBorder="1" applyAlignment="1">
      <alignment vertical="center"/>
    </xf>
    <xf numFmtId="0" fontId="0" fillId="0" borderId="71" xfId="0" applyBorder="1" applyAlignment="1">
      <alignment vertical="center"/>
    </xf>
    <xf numFmtId="0" fontId="0" fillId="0" borderId="33" xfId="0" applyBorder="1" applyAlignment="1">
      <alignment vertical="center"/>
    </xf>
    <xf numFmtId="0" fontId="0" fillId="0" borderId="72"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4" xfId="0" applyFill="1" applyBorder="1" applyAlignment="1">
      <alignment vertical="center"/>
    </xf>
    <xf numFmtId="0" fontId="2" fillId="0" borderId="63"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4" xfId="0"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8" xfId="0" applyFont="1" applyFill="1" applyBorder="1" applyAlignment="1">
      <alignment vertical="center"/>
    </xf>
    <xf numFmtId="0" fontId="20" fillId="11" borderId="79" xfId="0" applyFont="1" applyFill="1" applyBorder="1" applyAlignment="1">
      <alignment vertical="center"/>
    </xf>
    <xf numFmtId="0" fontId="20" fillId="11" borderId="80" xfId="0" applyFont="1" applyFill="1" applyBorder="1" applyAlignment="1">
      <alignment vertical="center"/>
    </xf>
    <xf numFmtId="0" fontId="20" fillId="0" borderId="46" xfId="0" applyFont="1" applyBorder="1" applyAlignment="1">
      <alignment vertical="center"/>
    </xf>
    <xf numFmtId="0" fontId="20" fillId="0" borderId="81"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8" xfId="0" applyFont="1" applyFill="1" applyBorder="1" applyAlignment="1">
      <alignment vertical="center"/>
    </xf>
    <xf numFmtId="0" fontId="23" fillId="11" borderId="80" xfId="0" applyFont="1" applyFill="1" applyBorder="1" applyAlignment="1">
      <alignment horizontal="center" vertical="center" wrapText="1"/>
    </xf>
    <xf numFmtId="0" fontId="23" fillId="0" borderId="78" xfId="0" applyFont="1" applyFill="1" applyBorder="1" applyAlignment="1">
      <alignment vertical="center"/>
    </xf>
    <xf numFmtId="0" fontId="20" fillId="11" borderId="79"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2" fillId="9" borderId="0" xfId="1" applyNumberFormat="1" applyFont="1" applyFill="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6" fillId="0" borderId="0" xfId="1" applyNumberFormat="1" applyFont="1" applyFill="1" applyBorder="1" applyAlignment="1">
      <alignment horizontal="left" vertical="center" wrapText="1"/>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171" fontId="0" fillId="0" borderId="0" xfId="1" applyNumberFormat="1" applyFont="1" applyAlignment="1">
      <alignment vertical="center"/>
    </xf>
    <xf numFmtId="5" fontId="6" fillId="11" borderId="29" xfId="0" applyNumberFormat="1" applyFont="1" applyFill="1" applyBorder="1" applyAlignment="1">
      <alignment vertical="center"/>
    </xf>
    <xf numFmtId="5" fontId="26" fillId="0" borderId="79"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2" xfId="0" applyBorder="1" applyAlignment="1">
      <alignment vertical="center"/>
    </xf>
    <xf numFmtId="7" fontId="0" fillId="0" borderId="0" xfId="0" applyNumberFormat="1" applyAlignment="1">
      <alignment vertical="center"/>
    </xf>
    <xf numFmtId="5" fontId="7" fillId="0" borderId="58" xfId="1" applyNumberFormat="1" applyFont="1" applyFill="1" applyBorder="1" applyAlignment="1">
      <alignment vertical="center"/>
    </xf>
    <xf numFmtId="0" fontId="0" fillId="0" borderId="52"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52" xfId="0" applyFont="1" applyFill="1" applyBorder="1" applyAlignment="1">
      <alignment horizontal="center" vertical="center"/>
    </xf>
    <xf numFmtId="0" fontId="6" fillId="0" borderId="58"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8"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6" xfId="1" applyNumberFormat="1" applyFont="1" applyFill="1" applyBorder="1" applyAlignment="1">
      <alignment vertical="center"/>
    </xf>
    <xf numFmtId="5" fontId="2" fillId="0" borderId="55" xfId="1" applyNumberFormat="1" applyFont="1" applyFill="1" applyBorder="1" applyAlignment="1">
      <alignment horizontal="center" vertical="center"/>
    </xf>
    <xf numFmtId="5" fontId="7" fillId="0" borderId="52" xfId="1" applyNumberFormat="1" applyFont="1" applyFill="1" applyBorder="1" applyAlignment="1">
      <alignment horizontal="center" vertical="center"/>
    </xf>
    <xf numFmtId="0" fontId="0" fillId="0" borderId="53" xfId="0" applyFill="1" applyBorder="1" applyAlignment="1">
      <alignment vertical="center"/>
    </xf>
    <xf numFmtId="0" fontId="0" fillId="0" borderId="60" xfId="0" applyFill="1" applyBorder="1" applyAlignment="1">
      <alignment vertical="center"/>
    </xf>
    <xf numFmtId="5" fontId="7" fillId="0" borderId="60" xfId="1" applyNumberFormat="1" applyFont="1" applyFill="1" applyBorder="1" applyAlignment="1">
      <alignment vertical="center"/>
    </xf>
    <xf numFmtId="5" fontId="7" fillId="0" borderId="52" xfId="1" applyNumberFormat="1" applyFont="1" applyFill="1" applyBorder="1" applyAlignment="1">
      <alignment vertical="center"/>
    </xf>
    <xf numFmtId="0" fontId="0" fillId="0" borderId="61"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4" xfId="0" applyFont="1" applyFill="1" applyBorder="1" applyAlignment="1">
      <alignment vertical="center"/>
    </xf>
    <xf numFmtId="0" fontId="2" fillId="0" borderId="52" xfId="0" applyFont="1" applyFill="1" applyBorder="1" applyAlignment="1">
      <alignment vertical="center"/>
    </xf>
    <xf numFmtId="0" fontId="2" fillId="0" borderId="60" xfId="0" applyFont="1" applyFill="1" applyBorder="1" applyAlignment="1">
      <alignment vertical="center"/>
    </xf>
    <xf numFmtId="0" fontId="2" fillId="0" borderId="83" xfId="0" applyFont="1" applyFill="1" applyBorder="1" applyAlignment="1">
      <alignment horizontal="center" vertical="center" wrapText="1"/>
    </xf>
    <xf numFmtId="0" fontId="2" fillId="11" borderId="84" xfId="0" applyFont="1" applyFill="1"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14" fillId="0" borderId="87" xfId="0" applyFont="1" applyFill="1" applyBorder="1" applyAlignment="1">
      <alignment horizontal="center" vertical="center"/>
    </xf>
    <xf numFmtId="0" fontId="14" fillId="0" borderId="88" xfId="0" applyFont="1" applyFill="1" applyBorder="1" applyAlignment="1">
      <alignment horizontal="center" vertical="center"/>
    </xf>
    <xf numFmtId="0" fontId="0" fillId="0" borderId="89" xfId="0" applyBorder="1" applyAlignment="1">
      <alignment vertical="center"/>
    </xf>
    <xf numFmtId="0" fontId="0" fillId="0" borderId="85" xfId="0" applyBorder="1" applyAlignment="1">
      <alignment vertical="center"/>
    </xf>
    <xf numFmtId="0" fontId="14" fillId="0" borderId="86" xfId="0" applyFont="1" applyBorder="1" applyAlignment="1">
      <alignment horizontal="center" vertical="center"/>
    </xf>
    <xf numFmtId="0" fontId="14" fillId="0" borderId="89" xfId="0" applyFont="1" applyBorder="1" applyAlignment="1">
      <alignment horizontal="center" vertical="center"/>
    </xf>
    <xf numFmtId="0" fontId="6" fillId="0" borderId="89" xfId="0" applyFont="1" applyBorder="1" applyAlignment="1">
      <alignment horizontal="center" vertical="center"/>
    </xf>
    <xf numFmtId="0" fontId="14" fillId="0" borderId="85" xfId="0" applyFont="1" applyBorder="1" applyAlignment="1">
      <alignment horizontal="center" vertical="center"/>
    </xf>
    <xf numFmtId="0" fontId="6" fillId="0" borderId="90" xfId="0" applyFont="1" applyBorder="1" applyAlignment="1">
      <alignment horizontal="center" vertical="center"/>
    </xf>
    <xf numFmtId="0" fontId="14" fillId="0" borderId="91" xfId="0" applyFont="1" applyBorder="1" applyAlignment="1">
      <alignment horizontal="center" vertical="center"/>
    </xf>
    <xf numFmtId="0" fontId="6" fillId="0" borderId="85" xfId="0" applyFont="1" applyBorder="1" applyAlignment="1">
      <alignment horizontal="center" vertical="center"/>
    </xf>
    <xf numFmtId="0" fontId="0" fillId="0" borderId="90" xfId="0" applyBorder="1" applyAlignment="1">
      <alignment horizontal="center" vertical="center"/>
    </xf>
    <xf numFmtId="5" fontId="14" fillId="0" borderId="85" xfId="1" applyNumberFormat="1" applyFont="1" applyBorder="1" applyAlignment="1">
      <alignment horizontal="center" vertical="center"/>
    </xf>
    <xf numFmtId="5" fontId="14" fillId="0" borderId="90" xfId="1" applyNumberFormat="1" applyFont="1" applyBorder="1" applyAlignment="1">
      <alignment horizontal="center" vertical="center"/>
    </xf>
    <xf numFmtId="5" fontId="6" fillId="0" borderId="91" xfId="1" applyNumberFormat="1" applyFont="1" applyBorder="1" applyAlignment="1">
      <alignment horizontal="center" vertical="center"/>
    </xf>
    <xf numFmtId="5" fontId="6" fillId="0" borderId="85" xfId="1" applyNumberFormat="1" applyFont="1" applyBorder="1" applyAlignment="1">
      <alignment horizontal="center" vertical="center"/>
    </xf>
    <xf numFmtId="5" fontId="7" fillId="0" borderId="88" xfId="1" applyNumberFormat="1" applyFont="1" applyFill="1" applyBorder="1" applyAlignment="1">
      <alignment horizontal="center" vertical="center"/>
    </xf>
    <xf numFmtId="5" fontId="7" fillId="11" borderId="88" xfId="1" applyNumberFormat="1" applyFont="1" applyFill="1" applyBorder="1" applyAlignment="1">
      <alignment horizontal="center" vertical="center"/>
    </xf>
    <xf numFmtId="0" fontId="6" fillId="0" borderId="89" xfId="0" applyFont="1" applyBorder="1" applyAlignment="1">
      <alignment horizontal="right" vertical="center"/>
    </xf>
    <xf numFmtId="0" fontId="14" fillId="0" borderId="85" xfId="0" applyFont="1" applyBorder="1" applyAlignment="1">
      <alignment horizontal="right" vertical="center"/>
    </xf>
    <xf numFmtId="0" fontId="6" fillId="0" borderId="90" xfId="0" applyFont="1" applyBorder="1" applyAlignment="1">
      <alignment horizontal="right" vertical="center"/>
    </xf>
    <xf numFmtId="0" fontId="6" fillId="0" borderId="91" xfId="0" applyFont="1" applyBorder="1" applyAlignment="1">
      <alignment horizontal="right" vertical="center"/>
    </xf>
    <xf numFmtId="0" fontId="6" fillId="0" borderId="85" xfId="0" applyFont="1" applyBorder="1" applyAlignment="1">
      <alignment horizontal="right" vertical="center"/>
    </xf>
    <xf numFmtId="0" fontId="14" fillId="0" borderId="85" xfId="0" applyFont="1" applyFill="1" applyBorder="1" applyAlignment="1">
      <alignment horizontal="right" vertical="center"/>
    </xf>
    <xf numFmtId="0" fontId="0" fillId="0" borderId="90" xfId="0" applyFill="1" applyBorder="1" applyAlignment="1">
      <alignment vertical="center"/>
    </xf>
    <xf numFmtId="0" fontId="14" fillId="0" borderId="91" xfId="0" applyFont="1" applyBorder="1" applyAlignment="1">
      <alignment vertical="center"/>
    </xf>
    <xf numFmtId="5" fontId="14" fillId="0" borderId="90" xfId="1" applyNumberFormat="1" applyFont="1" applyBorder="1" applyAlignment="1">
      <alignment vertical="center"/>
    </xf>
    <xf numFmtId="5" fontId="7" fillId="0" borderId="92" xfId="1" applyNumberFormat="1" applyFont="1" applyFill="1" applyBorder="1" applyAlignment="1">
      <alignment vertical="center"/>
    </xf>
    <xf numFmtId="5" fontId="7" fillId="11" borderId="92" xfId="1" applyNumberFormat="1" applyFont="1" applyFill="1" applyBorder="1" applyAlignment="1">
      <alignment vertical="center"/>
    </xf>
    <xf numFmtId="5" fontId="7" fillId="0" borderId="91" xfId="1" applyNumberFormat="1" applyFont="1" applyFill="1" applyBorder="1" applyAlignment="1">
      <alignment vertical="center"/>
    </xf>
    <xf numFmtId="0" fontId="14" fillId="0" borderId="93" xfId="0" applyFont="1" applyBorder="1" applyAlignment="1">
      <alignment horizontal="right" vertical="center"/>
    </xf>
    <xf numFmtId="5" fontId="7" fillId="0" borderId="94" xfId="1" applyNumberFormat="1" applyFont="1" applyFill="1" applyBorder="1" applyAlignment="1">
      <alignment vertical="center"/>
    </xf>
    <xf numFmtId="5" fontId="7" fillId="0" borderId="88" xfId="1" applyNumberFormat="1" applyFont="1" applyFill="1" applyBorder="1" applyAlignment="1">
      <alignment vertical="center"/>
    </xf>
    <xf numFmtId="5" fontId="7" fillId="11" borderId="88" xfId="1" applyNumberFormat="1" applyFont="1" applyFill="1" applyBorder="1" applyAlignment="1">
      <alignment vertical="center"/>
    </xf>
    <xf numFmtId="164" fontId="7" fillId="0" borderId="0" xfId="1" applyNumberFormat="1" applyFont="1" applyFill="1" applyBorder="1" applyAlignment="1">
      <alignment horizontal="left" vertical="center" wrapText="1"/>
    </xf>
    <xf numFmtId="9" fontId="28" fillId="8" borderId="0" xfId="2" applyFont="1" applyFill="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5" xfId="1" applyNumberFormat="1" applyFont="1" applyBorder="1" applyAlignment="1">
      <alignment vertical="center"/>
    </xf>
    <xf numFmtId="164" fontId="6" fillId="0" borderId="96" xfId="1" applyNumberFormat="1" applyFont="1" applyBorder="1" applyAlignment="1">
      <alignment vertical="center"/>
    </xf>
    <xf numFmtId="165" fontId="0" fillId="0" borderId="97" xfId="2" applyNumberFormat="1" applyFont="1" applyBorder="1" applyAlignment="1">
      <alignment horizontal="center" vertical="center"/>
    </xf>
    <xf numFmtId="164" fontId="0"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1" fillId="0" borderId="0" xfId="2" applyFont="1" applyAlignment="1">
      <alignment vertical="center"/>
    </xf>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7" fillId="0" borderId="34" xfId="1" applyNumberFormat="1" applyFont="1" applyFill="1" applyBorder="1" applyAlignment="1">
      <alignment horizontal="left" vertical="center" wrapText="1"/>
    </xf>
    <xf numFmtId="164" fontId="7" fillId="0" borderId="33" xfId="1" applyNumberFormat="1" applyFont="1" applyFill="1" applyBorder="1" applyAlignment="1">
      <alignment horizontal="left" vertical="center" wrapText="1"/>
    </xf>
    <xf numFmtId="164" fontId="10"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6"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100"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5" xfId="0" applyFont="1" applyBorder="1"/>
    <xf numFmtId="167" fontId="2" fillId="0" borderId="0" xfId="3" applyNumberFormat="1" applyFont="1" applyBorder="1"/>
    <xf numFmtId="167" fontId="12" fillId="0" borderId="45" xfId="3" applyNumberFormat="1" applyFont="1" applyBorder="1"/>
    <xf numFmtId="0" fontId="0" fillId="0" borderId="65" xfId="0" applyBorder="1"/>
    <xf numFmtId="0" fontId="0" fillId="0" borderId="45" xfId="0" applyBorder="1"/>
    <xf numFmtId="167" fontId="0" fillId="0" borderId="0" xfId="3" applyNumberFormat="1" applyFont="1" applyBorder="1"/>
    <xf numFmtId="167" fontId="14" fillId="0" borderId="45" xfId="3" applyNumberFormat="1" applyFont="1" applyBorder="1"/>
    <xf numFmtId="167" fontId="36" fillId="0" borderId="0" xfId="3" applyNumberFormat="1" applyFont="1" applyBorder="1"/>
    <xf numFmtId="167" fontId="37" fillId="0" borderId="45" xfId="3" applyNumberFormat="1" applyFont="1" applyBorder="1"/>
    <xf numFmtId="167" fontId="2" fillId="0" borderId="45" xfId="3" applyNumberFormat="1" applyFont="1" applyBorder="1"/>
    <xf numFmtId="167" fontId="0" fillId="0" borderId="0" xfId="0" applyNumberFormat="1" applyBorder="1"/>
    <xf numFmtId="167" fontId="0" fillId="0" borderId="45" xfId="0" applyNumberFormat="1" applyBorder="1"/>
    <xf numFmtId="0" fontId="2" fillId="0" borderId="66" xfId="0" applyFont="1" applyBorder="1"/>
    <xf numFmtId="167" fontId="0" fillId="0" borderId="52" xfId="0" applyNumberFormat="1" applyBorder="1"/>
    <xf numFmtId="167" fontId="0" fillId="0" borderId="53" xfId="0" applyNumberFormat="1" applyBorder="1"/>
    <xf numFmtId="0" fontId="2" fillId="0" borderId="82" xfId="0" applyFont="1" applyBorder="1"/>
    <xf numFmtId="0" fontId="2" fillId="0" borderId="54" xfId="0" applyFont="1" applyBorder="1" applyAlignment="1">
      <alignment horizont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0" fillId="0" borderId="0" xfId="0" applyFont="1" applyBorder="1"/>
    <xf numFmtId="0" fontId="0" fillId="0" borderId="45"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102" xfId="0" applyFont="1" applyBorder="1" applyAlignment="1">
      <alignment vertical="center"/>
    </xf>
    <xf numFmtId="0" fontId="20" fillId="0" borderId="103"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52"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164" fontId="7" fillId="0" borderId="0" xfId="1" quotePrefix="1" applyNumberFormat="1" applyFont="1" applyFill="1" applyBorder="1" applyAlignment="1">
      <alignment horizontal="left" vertical="center" wrapText="1"/>
    </xf>
    <xf numFmtId="164" fontId="7"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164" fontId="6" fillId="10" borderId="32" xfId="1" applyNumberFormat="1" applyFont="1" applyFill="1" applyBorder="1" applyAlignment="1">
      <alignment horizontal="left" vertical="center" wrapText="1"/>
    </xf>
    <xf numFmtId="164" fontId="7" fillId="0" borderId="0" xfId="1" applyNumberFormat="1" applyFont="1" applyFill="1" applyAlignment="1">
      <alignment vertical="center" wrapText="1"/>
    </xf>
    <xf numFmtId="164" fontId="7" fillId="0" borderId="32" xfId="1" applyNumberFormat="1" applyFont="1" applyFill="1" applyBorder="1" applyAlignment="1">
      <alignment horizontal="left" vertical="center" wrapText="1"/>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4" fontId="6" fillId="0" borderId="0" xfId="1" quotePrefix="1" applyNumberFormat="1" applyFont="1" applyFill="1" applyBorder="1" applyAlignment="1">
      <alignment horizontal="left" vertical="center" wrapText="1"/>
    </xf>
    <xf numFmtId="44" fontId="7" fillId="0" borderId="33" xfId="1" applyNumberFormat="1" applyFont="1" applyFill="1" applyBorder="1" applyAlignment="1">
      <alignment horizontal="left" vertical="center" wrapText="1"/>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6" fillId="0" borderId="33" xfId="2" applyNumberFormat="1" applyFont="1" applyFill="1" applyBorder="1" applyAlignment="1">
      <alignment horizontal="lef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5" xfId="0" applyFont="1" applyFill="1" applyBorder="1" applyAlignment="1">
      <alignment vertical="center"/>
    </xf>
    <xf numFmtId="5" fontId="2" fillId="11" borderId="55" xfId="0" applyNumberFormat="1" applyFont="1" applyFill="1" applyBorder="1" applyAlignment="1">
      <alignment vertical="center"/>
    </xf>
    <xf numFmtId="5" fontId="2" fillId="11" borderId="106" xfId="0" applyNumberFormat="1" applyFont="1" applyFill="1" applyBorder="1" applyAlignment="1">
      <alignment vertical="center"/>
    </xf>
    <xf numFmtId="5" fontId="2" fillId="0" borderId="107" xfId="0" applyNumberFormat="1" applyFont="1" applyFill="1" applyBorder="1" applyAlignment="1">
      <alignment vertical="center"/>
    </xf>
    <xf numFmtId="5" fontId="0" fillId="0" borderId="55" xfId="0" applyNumberFormat="1" applyBorder="1" applyAlignment="1">
      <alignment vertical="center"/>
    </xf>
    <xf numFmtId="5" fontId="2" fillId="12" borderId="107" xfId="0" applyNumberFormat="1" applyFont="1" applyFill="1" applyBorder="1" applyAlignment="1">
      <alignment vertical="center"/>
    </xf>
    <xf numFmtId="5" fontId="2" fillId="11" borderId="104"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8" xfId="1" applyNumberFormat="1" applyFont="1" applyFill="1" applyBorder="1" applyAlignment="1">
      <alignment vertical="center"/>
    </xf>
    <xf numFmtId="165" fontId="7" fillId="0" borderId="109" xfId="2" applyNumberFormat="1" applyFont="1" applyFill="1" applyBorder="1" applyAlignment="1">
      <alignment vertical="center"/>
    </xf>
    <xf numFmtId="5" fontId="7" fillId="0" borderId="89" xfId="1" applyNumberFormat="1" applyFont="1" applyFill="1" applyBorder="1" applyAlignment="1">
      <alignment vertical="center"/>
    </xf>
    <xf numFmtId="165" fontId="7" fillId="0" borderId="88"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1" fillId="0" borderId="0" xfId="1" applyNumberFormat="1" applyFont="1" applyFill="1" applyAlignment="1">
      <alignment horizontal="left" wrapText="1"/>
    </xf>
    <xf numFmtId="164" fontId="11" fillId="0" borderId="0" xfId="1" applyNumberFormat="1" applyFont="1" applyAlignment="1">
      <alignment horizontal="left" wrapText="1"/>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39" fillId="0" borderId="0" xfId="1" applyNumberFormat="1" applyFont="1" applyFill="1" applyAlignment="1">
      <alignment horizontal="left" wrapText="1"/>
    </xf>
    <xf numFmtId="164" fontId="39" fillId="0" borderId="0" xfId="1" applyNumberFormat="1" applyFont="1" applyAlignment="1">
      <alignment horizontal="left" wrapText="1"/>
    </xf>
    <xf numFmtId="164" fontId="5" fillId="0" borderId="0" xfId="1" applyNumberFormat="1" applyFont="1" applyAlignment="1"/>
    <xf numFmtId="164" fontId="5" fillId="0" borderId="0" xfId="1" applyNumberFormat="1" applyFont="1" applyAlignment="1">
      <alignment vertical="center"/>
    </xf>
    <xf numFmtId="164" fontId="10"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6" fillId="0" borderId="34" xfId="1" quotePrefix="1" applyNumberFormat="1" applyFont="1" applyFill="1" applyBorder="1" applyAlignment="1">
      <alignment horizontal="left" vertical="center" wrapText="1"/>
    </xf>
    <xf numFmtId="164" fontId="7" fillId="0" borderId="33" xfId="1" quotePrefix="1" applyNumberFormat="1" applyFont="1" applyFill="1" applyBorder="1" applyAlignment="1">
      <alignment horizontal="left" vertical="center" wrapText="1"/>
    </xf>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4" fontId="7"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5" xfId="3" applyNumberFormat="1" applyFont="1" applyBorder="1"/>
    <xf numFmtId="5" fontId="38" fillId="0" borderId="111"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12" xfId="0" applyNumberFormat="1" applyFont="1" applyBorder="1"/>
    <xf numFmtId="5" fontId="4" fillId="0" borderId="117" xfId="0" applyNumberFormat="1" applyFont="1" applyBorder="1"/>
    <xf numFmtId="5" fontId="38" fillId="0" borderId="113" xfId="0" applyNumberFormat="1" applyFont="1" applyBorder="1"/>
    <xf numFmtId="5" fontId="38" fillId="0" borderId="30" xfId="0" applyNumberFormat="1" applyFont="1" applyBorder="1"/>
    <xf numFmtId="5" fontId="38" fillId="0" borderId="118" xfId="0" applyNumberFormat="1" applyFont="1" applyBorder="1"/>
    <xf numFmtId="0" fontId="41" fillId="14" borderId="0" xfId="0" applyFont="1" applyFill="1" applyBorder="1" applyAlignment="1">
      <alignment horizontal="center" vertical="center" wrapText="1"/>
    </xf>
    <xf numFmtId="5" fontId="42" fillId="14" borderId="0" xfId="3" applyNumberFormat="1" applyFont="1" applyFill="1" applyBorder="1"/>
    <xf numFmtId="5" fontId="41"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7"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38"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4" fillId="0" borderId="33" xfId="2" applyNumberFormat="1" applyFont="1" applyBorder="1" applyAlignment="1">
      <alignment horizontal="left" vertical="center"/>
    </xf>
    <xf numFmtId="165" fontId="12"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2"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2"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4"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8" xfId="1" applyNumberFormat="1" applyFont="1" applyFill="1" applyBorder="1" applyAlignment="1">
      <alignment vertical="center"/>
    </xf>
    <xf numFmtId="164" fontId="0" fillId="11" borderId="79" xfId="1" applyNumberFormat="1" applyFont="1" applyFill="1" applyBorder="1" applyAlignment="1">
      <alignment vertical="center"/>
    </xf>
    <xf numFmtId="164" fontId="0" fillId="11" borderId="79" xfId="1" applyNumberFormat="1" applyFont="1" applyFill="1" applyBorder="1" applyAlignment="1">
      <alignment horizontal="center" vertical="center"/>
    </xf>
    <xf numFmtId="44" fontId="0" fillId="11" borderId="79" xfId="1" applyNumberFormat="1" applyFont="1" applyFill="1" applyBorder="1" applyAlignment="1">
      <alignment horizontal="center" vertical="center"/>
    </xf>
    <xf numFmtId="164" fontId="2" fillId="11" borderId="79" xfId="1" applyNumberFormat="1" applyFont="1" applyFill="1" applyBorder="1" applyAlignment="1">
      <alignment horizontal="center" vertical="center" wrapText="1"/>
    </xf>
    <xf numFmtId="164" fontId="2" fillId="11" borderId="79" xfId="1" applyNumberFormat="1" applyFont="1" applyFill="1" applyBorder="1" applyAlignment="1">
      <alignment horizontal="center" vertical="center"/>
    </xf>
    <xf numFmtId="164" fontId="2" fillId="11" borderId="80"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79" xfId="1" applyNumberFormat="1" applyFont="1" applyFill="1" applyBorder="1" applyAlignment="1">
      <alignment vertical="center"/>
    </xf>
    <xf numFmtId="164" fontId="0" fillId="0" borderId="79" xfId="1" applyNumberFormat="1" applyFont="1" applyFill="1" applyBorder="1" applyAlignment="1">
      <alignment horizontal="center" vertical="center"/>
    </xf>
    <xf numFmtId="164" fontId="2" fillId="11" borderId="78" xfId="1" applyNumberFormat="1" applyFont="1" applyFill="1" applyBorder="1" applyAlignment="1">
      <alignment vertical="center"/>
    </xf>
    <xf numFmtId="164" fontId="2" fillId="0" borderId="78" xfId="1" applyNumberFormat="1" applyFont="1" applyFill="1" applyBorder="1" applyAlignment="1">
      <alignment vertical="center"/>
    </xf>
    <xf numFmtId="164" fontId="2" fillId="0" borderId="79" xfId="1" applyNumberFormat="1" applyFont="1" applyFill="1" applyBorder="1" applyAlignment="1">
      <alignment vertical="center"/>
    </xf>
    <xf numFmtId="164" fontId="0" fillId="0" borderId="80" xfId="1" applyNumberFormat="1" applyFont="1" applyFill="1" applyBorder="1" applyAlignment="1">
      <alignment horizontal="left" vertical="center"/>
    </xf>
    <xf numFmtId="44" fontId="11"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4"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4" fillId="0" borderId="4" xfId="0" applyNumberFormat="1" applyFont="1" applyBorder="1"/>
    <xf numFmtId="174"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1" fillId="0" borderId="34" xfId="2" applyNumberFormat="1" applyFont="1" applyBorder="1" applyAlignment="1">
      <alignment horizontal="left" vertical="center"/>
    </xf>
    <xf numFmtId="165" fontId="11" fillId="0" borderId="33" xfId="2" applyNumberFormat="1" applyFont="1" applyBorder="1" applyAlignment="1">
      <alignment horizontal="left" vertical="center"/>
    </xf>
    <xf numFmtId="165" fontId="11" fillId="0" borderId="0" xfId="2" applyNumberFormat="1" applyFont="1" applyBorder="1" applyAlignment="1">
      <alignment horizontal="left" vertical="center"/>
    </xf>
    <xf numFmtId="165" fontId="11" fillId="0" borderId="32" xfId="2" applyNumberFormat="1" applyFont="1" applyBorder="1" applyAlignment="1">
      <alignment horizontal="left" vertical="center"/>
    </xf>
    <xf numFmtId="165" fontId="11" fillId="0" borderId="33" xfId="2" applyNumberFormat="1" applyFont="1" applyBorder="1" applyAlignment="1">
      <alignment horizontal="left" vertical="center" wrapText="1"/>
    </xf>
    <xf numFmtId="165" fontId="11"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165" fontId="1" fillId="3" borderId="0" xfId="2" applyNumberFormat="1" applyFont="1" applyFill="1" applyAlignment="1">
      <alignment horizontal="left" vertical="center"/>
    </xf>
    <xf numFmtId="165" fontId="6" fillId="0" borderId="34" xfId="2" applyNumberFormat="1" applyFont="1" applyBorder="1" applyAlignment="1">
      <alignment horizontal="left" vertical="center"/>
    </xf>
    <xf numFmtId="165" fontId="11" fillId="3" borderId="0" xfId="2" applyNumberFormat="1" applyFont="1" applyFill="1" applyAlignment="1">
      <alignment horizontal="left"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65" fontId="11" fillId="0" borderId="0" xfId="2" applyNumberFormat="1" applyFont="1" applyBorder="1" applyAlignment="1">
      <alignment horizontal="left" vertical="center" wrapText="1"/>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5" xfId="0" applyFont="1" applyFill="1" applyBorder="1" applyAlignment="1">
      <alignment vertical="center"/>
    </xf>
    <xf numFmtId="0" fontId="2" fillId="0" borderId="0" xfId="0" applyFont="1" applyFill="1" applyBorder="1" applyAlignment="1">
      <alignment vertical="top"/>
    </xf>
    <xf numFmtId="0" fontId="0" fillId="0" borderId="79" xfId="0" applyBorder="1" applyAlignment="1">
      <alignment vertical="center"/>
    </xf>
    <xf numFmtId="0" fontId="0" fillId="0" borderId="80"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9" xfId="1" applyNumberFormat="1" applyFont="1" applyFill="1" applyBorder="1" applyAlignment="1">
      <alignment vertical="center"/>
    </xf>
    <xf numFmtId="0" fontId="0" fillId="0" borderId="79" xfId="0" applyFill="1" applyBorder="1" applyAlignment="1">
      <alignment vertical="center"/>
    </xf>
    <xf numFmtId="0" fontId="0" fillId="0" borderId="80" xfId="0" applyFill="1" applyBorder="1" applyAlignment="1">
      <alignment vertical="center"/>
    </xf>
    <xf numFmtId="0" fontId="6" fillId="0" borderId="93" xfId="0" applyFont="1" applyBorder="1" applyAlignment="1">
      <alignment horizontal="right" vertical="center"/>
    </xf>
    <xf numFmtId="0" fontId="6" fillId="0" borderId="18" xfId="0" applyFont="1" applyBorder="1" applyAlignment="1">
      <alignment horizontal="right" vertical="center"/>
    </xf>
    <xf numFmtId="0" fontId="0" fillId="0" borderId="81"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1"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44" fontId="0" fillId="0" borderId="0" xfId="1" applyFont="1" applyBorder="1" applyAlignment="1">
      <alignment horizontal="left"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4" xfId="0" applyFont="1" applyFill="1" applyBorder="1" applyAlignment="1">
      <alignment horizontal="center" vertical="center" wrapText="1"/>
    </xf>
    <xf numFmtId="5" fontId="7" fillId="12" borderId="84" xfId="1" applyNumberFormat="1" applyFont="1" applyFill="1" applyBorder="1" applyAlignment="1">
      <alignment horizontal="center" vertical="center"/>
    </xf>
    <xf numFmtId="5" fontId="7" fillId="12" borderId="88" xfId="1" applyNumberFormat="1" applyFont="1" applyFill="1" applyBorder="1" applyAlignment="1">
      <alignment horizontal="center" vertical="center"/>
    </xf>
    <xf numFmtId="0" fontId="0" fillId="12" borderId="55" xfId="0" applyFill="1" applyBorder="1" applyAlignment="1">
      <alignment vertical="center"/>
    </xf>
    <xf numFmtId="0" fontId="0" fillId="12" borderId="56" xfId="0" applyFill="1" applyBorder="1" applyAlignment="1">
      <alignment vertical="center"/>
    </xf>
    <xf numFmtId="5" fontId="12" fillId="12" borderId="84" xfId="1" applyNumberFormat="1" applyFont="1" applyFill="1" applyBorder="1" applyAlignment="1">
      <alignment horizontal="center" vertical="center"/>
    </xf>
    <xf numFmtId="0" fontId="2" fillId="12" borderId="54" xfId="0" applyFont="1" applyFill="1" applyBorder="1" applyAlignment="1">
      <alignment vertical="center"/>
    </xf>
    <xf numFmtId="5" fontId="7" fillId="12" borderId="92" xfId="1" applyNumberFormat="1" applyFont="1" applyFill="1" applyBorder="1" applyAlignment="1">
      <alignment vertical="center"/>
    </xf>
    <xf numFmtId="0" fontId="0" fillId="0" borderId="123" xfId="0" applyBorder="1" applyAlignment="1">
      <alignment vertical="center"/>
    </xf>
    <xf numFmtId="0" fontId="0" fillId="0" borderId="125" xfId="0" applyBorder="1" applyAlignment="1">
      <alignment vertical="center"/>
    </xf>
    <xf numFmtId="5" fontId="7" fillId="11" borderId="94"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8" xfId="0" applyFont="1" applyFill="1" applyBorder="1" applyAlignment="1">
      <alignment vertical="center"/>
    </xf>
    <xf numFmtId="0" fontId="2" fillId="0" borderId="79" xfId="0" applyFont="1" applyFill="1" applyBorder="1" applyAlignment="1">
      <alignment vertical="top"/>
    </xf>
    <xf numFmtId="5" fontId="7" fillId="12" borderId="79" xfId="1" applyNumberFormat="1" applyFont="1" applyFill="1" applyBorder="1" applyAlignment="1">
      <alignment vertical="center"/>
    </xf>
    <xf numFmtId="5" fontId="2" fillId="12" borderId="79" xfId="1" applyNumberFormat="1" applyFont="1" applyFill="1" applyBorder="1" applyAlignment="1">
      <alignment vertical="center"/>
    </xf>
    <xf numFmtId="0" fontId="0" fillId="0" borderId="55" xfId="0" applyBorder="1" applyAlignment="1">
      <alignment vertical="center"/>
    </xf>
    <xf numFmtId="0" fontId="0" fillId="0" borderId="56" xfId="0" applyBorder="1" applyAlignment="1">
      <alignment vertical="center"/>
    </xf>
    <xf numFmtId="5" fontId="7" fillId="12" borderId="84" xfId="1" applyNumberFormat="1" applyFont="1" applyFill="1" applyBorder="1" applyAlignment="1">
      <alignment vertical="center"/>
    </xf>
    <xf numFmtId="5" fontId="7" fillId="12" borderId="110" xfId="1" applyNumberFormat="1" applyFont="1" applyFill="1" applyBorder="1" applyAlignment="1">
      <alignment vertical="center"/>
    </xf>
    <xf numFmtId="5" fontId="7" fillId="12" borderId="104"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5"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5" fillId="0" borderId="0" xfId="1" applyNumberFormat="1" applyFont="1" applyBorder="1" applyAlignment="1">
      <alignment vertical="center"/>
    </xf>
    <xf numFmtId="164" fontId="0" fillId="0" borderId="0" xfId="1" applyNumberFormat="1" applyFont="1" applyBorder="1"/>
    <xf numFmtId="7" fontId="11"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164" fontId="7" fillId="0" borderId="0" xfId="1" applyNumberFormat="1" applyFont="1" applyFill="1" applyAlignment="1">
      <alignment horizontal="left" vertical="center" wrapText="1"/>
    </xf>
    <xf numFmtId="0" fontId="0" fillId="0" borderId="29" xfId="0" applyFill="1" applyBorder="1" applyAlignment="1">
      <alignment horizontal="left" vertical="center" wrapText="1"/>
    </xf>
    <xf numFmtId="0" fontId="2" fillId="0" borderId="84" xfId="0" applyFont="1" applyFill="1" applyBorder="1" applyAlignment="1">
      <alignment horizontal="center" vertical="center" wrapText="1"/>
    </xf>
    <xf numFmtId="0" fontId="11" fillId="0" borderId="91" xfId="0" applyFont="1" applyBorder="1" applyAlignment="1">
      <alignment horizontal="center" vertical="center"/>
    </xf>
    <xf numFmtId="5" fontId="11" fillId="0" borderId="91" xfId="1" applyNumberFormat="1" applyFont="1" applyBorder="1" applyAlignment="1">
      <alignment horizontal="center" vertical="center"/>
    </xf>
    <xf numFmtId="0" fontId="11" fillId="0" borderId="89" xfId="0" applyFont="1" applyBorder="1" applyAlignment="1">
      <alignment horizontal="right" vertical="center"/>
    </xf>
    <xf numFmtId="0" fontId="14" fillId="0" borderId="90" xfId="0" applyFont="1" applyBorder="1" applyAlignment="1">
      <alignment horizontal="center" vertical="center"/>
    </xf>
    <xf numFmtId="5" fontId="6" fillId="0" borderId="90" xfId="1" applyNumberFormat="1" applyFont="1" applyBorder="1" applyAlignment="1">
      <alignment horizontal="center" vertical="center"/>
    </xf>
    <xf numFmtId="5" fontId="6" fillId="0" borderId="90" xfId="1" applyNumberFormat="1" applyFont="1" applyBorder="1" applyAlignment="1">
      <alignment vertical="center"/>
    </xf>
    <xf numFmtId="0" fontId="2" fillId="0" borderId="48" xfId="0" applyFont="1" applyBorder="1" applyAlignment="1">
      <alignment vertical="center" textRotation="90" wrapText="1"/>
    </xf>
    <xf numFmtId="0" fontId="14" fillId="0" borderId="93" xfId="0" applyFont="1" applyBorder="1" applyAlignment="1">
      <alignment horizontal="center" vertical="center"/>
    </xf>
    <xf numFmtId="5" fontId="14" fillId="0" borderId="85" xfId="1" applyNumberFormat="1" applyFont="1" applyBorder="1" applyAlignment="1">
      <alignment vertical="center"/>
    </xf>
    <xf numFmtId="5" fontId="14" fillId="0" borderId="0" xfId="1" applyNumberFormat="1" applyFont="1" applyBorder="1" applyAlignment="1">
      <alignment vertical="center"/>
    </xf>
    <xf numFmtId="0" fontId="2" fillId="0" borderId="126" xfId="0" applyFont="1" applyFill="1" applyBorder="1" applyAlignment="1">
      <alignment vertical="center"/>
    </xf>
    <xf numFmtId="0" fontId="2" fillId="0" borderId="21" xfId="0" applyFont="1" applyFill="1" applyBorder="1" applyAlignment="1">
      <alignment vertical="center"/>
    </xf>
    <xf numFmtId="5" fontId="7" fillId="0" borderId="111" xfId="1" applyNumberFormat="1" applyFont="1" applyFill="1" applyBorder="1" applyAlignment="1">
      <alignment vertical="center"/>
    </xf>
    <xf numFmtId="0" fontId="0" fillId="0" borderId="127" xfId="0" applyFill="1" applyBorder="1" applyAlignment="1">
      <alignment vertical="center"/>
    </xf>
    <xf numFmtId="5" fontId="7" fillId="0" borderId="111" xfId="1" applyNumberFormat="1" applyFont="1" applyFill="1" applyBorder="1" applyAlignment="1">
      <alignment horizontal="center" vertical="center"/>
    </xf>
    <xf numFmtId="0" fontId="2" fillId="0" borderId="65" xfId="0" applyFont="1" applyBorder="1" applyAlignment="1">
      <alignment vertical="center" textRotation="90" wrapText="1"/>
    </xf>
    <xf numFmtId="0" fontId="2" fillId="0" borderId="51"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5" fontId="6" fillId="12" borderId="29" xfId="0" applyNumberFormat="1" applyFont="1" applyFill="1" applyBorder="1" applyAlignment="1">
      <alignment vertical="center"/>
    </xf>
    <xf numFmtId="175" fontId="6" fillId="0" borderId="29" xfId="0" applyNumberFormat="1" applyFont="1" applyFill="1" applyBorder="1" applyAlignment="1">
      <alignment vertical="center"/>
    </xf>
    <xf numFmtId="176"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5" fontId="10" fillId="3" borderId="0" xfId="2" applyNumberFormat="1" applyFont="1" applyFill="1" applyAlignment="1">
      <alignment horizontal="left" vertical="center"/>
    </xf>
    <xf numFmtId="164" fontId="0" fillId="11" borderId="79" xfId="1" applyNumberFormat="1" applyFont="1" applyFill="1" applyBorder="1" applyAlignment="1">
      <alignment horizontal="left" vertical="center"/>
    </xf>
    <xf numFmtId="164" fontId="0" fillId="0" borderId="79" xfId="1" applyNumberFormat="1" applyFont="1" applyFill="1" applyBorder="1" applyAlignment="1">
      <alignment horizontal="left" vertical="center"/>
    </xf>
    <xf numFmtId="165" fontId="10" fillId="2" borderId="0" xfId="2" applyNumberFormat="1" applyFont="1" applyFill="1" applyAlignment="1">
      <alignment horizontal="left" vertical="center"/>
    </xf>
    <xf numFmtId="165" fontId="7" fillId="8" borderId="0" xfId="2" applyNumberFormat="1" applyFont="1" applyFill="1" applyAlignment="1">
      <alignment horizontal="left" vertical="center"/>
    </xf>
    <xf numFmtId="0" fontId="19" fillId="0" borderId="0" xfId="0" applyFont="1" applyAlignment="1">
      <alignment horizontal="center" vertical="center"/>
    </xf>
    <xf numFmtId="0" fontId="2" fillId="0" borderId="8" xfId="0" applyFont="1" applyBorder="1" applyAlignment="1">
      <alignment horizontal="center" vertical="center" wrapText="1"/>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7" fillId="0" borderId="9"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4" fontId="7" fillId="0" borderId="10" xfId="1" applyNumberFormat="1" applyFont="1" applyBorder="1" applyAlignment="1">
      <alignment horizontal="center"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6" fillId="0" borderId="33" xfId="1" applyNumberFormat="1" applyFont="1" applyBorder="1" applyAlignment="1">
      <alignment horizontal="left"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8" xfId="1" applyNumberFormat="1" applyFont="1" applyFill="1" applyBorder="1" applyAlignment="1">
      <alignment horizontal="center"/>
    </xf>
    <xf numFmtId="168" fontId="2" fillId="4" borderId="39" xfId="1" applyNumberFormat="1" applyFont="1" applyFill="1" applyBorder="1" applyAlignment="1">
      <alignment horizontal="center"/>
    </xf>
    <xf numFmtId="164" fontId="0" fillId="0" borderId="33" xfId="1" applyNumberFormat="1" applyFont="1" applyFill="1" applyBorder="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101"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3" xfId="0" applyFont="1" applyBorder="1" applyAlignment="1">
      <alignment horizontal="left" vertical="center" wrapText="1"/>
    </xf>
    <xf numFmtId="0" fontId="20" fillId="0" borderId="6" xfId="0" applyFont="1" applyBorder="1" applyAlignment="1">
      <alignment horizontal="left" vertical="center" wrapText="1"/>
    </xf>
    <xf numFmtId="0" fontId="20" fillId="0" borderId="81"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 fillId="0" borderId="0" xfId="0" applyFont="1" applyAlignment="1">
      <alignment horizontal="center"/>
    </xf>
    <xf numFmtId="0" fontId="2" fillId="0" borderId="82"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7" xfId="0" applyFont="1" applyBorder="1" applyAlignment="1">
      <alignment horizontal="center" vertical="center" textRotation="90" wrapText="1"/>
    </xf>
    <xf numFmtId="0" fontId="2" fillId="0" borderId="6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12" borderId="54" xfId="0" applyFont="1" applyFill="1" applyBorder="1" applyAlignment="1">
      <alignment horizontal="center" vertical="center"/>
    </xf>
    <xf numFmtId="0" fontId="2" fillId="12" borderId="55" xfId="0" applyFont="1" applyFill="1" applyBorder="1" applyAlignment="1">
      <alignment horizontal="center" vertical="center"/>
    </xf>
    <xf numFmtId="0" fontId="2" fillId="0" borderId="41" xfId="0" applyFont="1" applyBorder="1" applyAlignment="1">
      <alignment horizontal="center" vertical="center" textRotation="90"/>
    </xf>
    <xf numFmtId="0" fontId="2" fillId="0" borderId="50" xfId="0" applyFont="1" applyBorder="1" applyAlignment="1">
      <alignment horizontal="center" vertical="center" textRotation="90"/>
    </xf>
    <xf numFmtId="0" fontId="2" fillId="0" borderId="42" xfId="0" applyFont="1" applyBorder="1" applyAlignment="1">
      <alignment horizontal="center" vertical="center" textRotation="90"/>
    </xf>
    <xf numFmtId="0" fontId="2" fillId="0" borderId="48"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67" xfId="0" applyFont="1" applyBorder="1" applyAlignment="1">
      <alignment horizontal="center" vertical="center" textRotation="90"/>
    </xf>
    <xf numFmtId="0" fontId="2" fillId="0" borderId="68" xfId="0" applyFont="1" applyBorder="1" applyAlignment="1">
      <alignment horizontal="center" vertical="center" textRotation="90"/>
    </xf>
    <xf numFmtId="0" fontId="2" fillId="0" borderId="64" xfId="0" applyFont="1" applyBorder="1" applyAlignment="1">
      <alignment horizontal="center" vertical="center" textRotation="90"/>
    </xf>
    <xf numFmtId="0" fontId="2" fillId="0" borderId="73" xfId="0" applyFont="1" applyBorder="1" applyAlignment="1">
      <alignment horizontal="center" vertical="center" textRotation="90" wrapText="1"/>
    </xf>
    <xf numFmtId="0" fontId="2" fillId="12" borderId="54" xfId="0" applyFont="1" applyFill="1" applyBorder="1" applyAlignment="1">
      <alignment horizontal="left" vertical="center"/>
    </xf>
    <xf numFmtId="0" fontId="2" fillId="12" borderId="55" xfId="0" applyFont="1" applyFill="1" applyBorder="1" applyAlignment="1">
      <alignment horizontal="left" vertical="center"/>
    </xf>
    <xf numFmtId="0" fontId="2" fillId="11" borderId="122" xfId="0" applyFont="1" applyFill="1" applyBorder="1" applyAlignment="1">
      <alignment horizontal="left" vertical="center"/>
    </xf>
    <xf numFmtId="0" fontId="2" fillId="11" borderId="123" xfId="0" applyFont="1" applyFill="1" applyBorder="1" applyAlignment="1">
      <alignment horizontal="left" vertical="center"/>
    </xf>
    <xf numFmtId="0" fontId="2" fillId="11" borderId="54" xfId="0" applyFont="1" applyFill="1" applyBorder="1" applyAlignment="1">
      <alignment horizontal="center" vertical="center"/>
    </xf>
    <xf numFmtId="0" fontId="2" fillId="11" borderId="55"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0" fillId="0" borderId="55" xfId="0" applyFill="1" applyBorder="1" applyAlignment="1">
      <alignment horizontal="left" vertical="center" wrapText="1"/>
    </xf>
    <xf numFmtId="0" fontId="0" fillId="0" borderId="56" xfId="0" applyFill="1" applyBorder="1" applyAlignment="1">
      <alignment horizontal="left" vertical="center" wrapText="1"/>
    </xf>
    <xf numFmtId="0" fontId="0" fillId="0" borderId="60" xfId="0" applyFill="1" applyBorder="1" applyAlignment="1">
      <alignment horizontal="left" vertical="center" wrapText="1"/>
    </xf>
    <xf numFmtId="0" fontId="0" fillId="0" borderId="61" xfId="0" applyFill="1" applyBorder="1" applyAlignment="1">
      <alignment horizontal="left" vertical="center" wrapText="1"/>
    </xf>
    <xf numFmtId="0" fontId="0" fillId="0" borderId="0" xfId="0" applyBorder="1" applyAlignment="1">
      <alignment horizontal="left" vertical="center" wrapText="1"/>
    </xf>
    <xf numFmtId="0" fontId="0" fillId="0" borderId="45" xfId="0" applyBorder="1" applyAlignment="1">
      <alignment horizontal="left" vertical="center"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2" fillId="0" borderId="0" xfId="0" applyFont="1" applyBorder="1" applyAlignment="1">
      <alignment horizontal="left" vertical="top" wrapText="1"/>
    </xf>
    <xf numFmtId="0" fontId="2" fillId="0" borderId="45" xfId="0" applyFont="1" applyBorder="1" applyAlignment="1">
      <alignment horizontal="left" vertical="top" wrapText="1"/>
    </xf>
    <xf numFmtId="0" fontId="2" fillId="0" borderId="8" xfId="0" applyFont="1" applyBorder="1" applyAlignment="1">
      <alignment horizontal="left" vertical="top" wrapText="1"/>
    </xf>
    <xf numFmtId="0" fontId="2" fillId="0" borderId="47" xfId="0" applyFont="1" applyBorder="1" applyAlignment="1">
      <alignment horizontal="left" vertical="top" wrapText="1"/>
    </xf>
    <xf numFmtId="0" fontId="2" fillId="11" borderId="124" xfId="0" applyFont="1" applyFill="1" applyBorder="1" applyAlignment="1">
      <alignment horizontal="left" vertical="center"/>
    </xf>
    <xf numFmtId="0" fontId="2" fillId="0" borderId="119" xfId="0" applyFont="1" applyBorder="1" applyAlignment="1">
      <alignment horizontal="center" vertical="center" textRotation="90" wrapText="1"/>
    </xf>
    <xf numFmtId="0" fontId="2" fillId="0" borderId="112" xfId="0" applyFont="1" applyBorder="1" applyAlignment="1">
      <alignment horizontal="center" vertical="center" textRotation="90" wrapText="1"/>
    </xf>
    <xf numFmtId="0" fontId="2" fillId="0" borderId="120"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8" xfId="0" applyFont="1" applyFill="1" applyBorder="1" applyAlignment="1">
      <alignment horizontal="left" vertical="center"/>
    </xf>
    <xf numFmtId="0" fontId="2" fillId="11" borderId="79"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9" xfId="0" applyFont="1" applyFill="1" applyBorder="1" applyAlignment="1">
      <alignment horizontal="center" vertical="center"/>
    </xf>
    <xf numFmtId="0" fontId="23" fillId="11" borderId="80" xfId="0" applyFont="1" applyFill="1" applyBorder="1" applyAlignment="1">
      <alignment horizontal="center" vertical="center"/>
    </xf>
    <xf numFmtId="0" fontId="20" fillId="0" borderId="7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22" fillId="11" borderId="78" xfId="0" applyFont="1" applyFill="1" applyBorder="1" applyAlignment="1">
      <alignment horizontal="left" vertical="center"/>
    </xf>
    <xf numFmtId="0" fontId="22" fillId="11" borderId="79" xfId="0" applyFont="1" applyFill="1" applyBorder="1" applyAlignment="1">
      <alignment horizontal="left" vertical="center"/>
    </xf>
    <xf numFmtId="0" fontId="22" fillId="11" borderId="80"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8" xfId="0" applyNumberFormat="1" applyFont="1" applyFill="1" applyBorder="1" applyAlignment="1">
      <alignment horizontal="center" vertical="center"/>
    </xf>
    <xf numFmtId="5" fontId="7" fillId="0" borderId="79" xfId="0" applyNumberFormat="1" applyFont="1" applyFill="1" applyBorder="1" applyAlignment="1">
      <alignment horizontal="center" vertical="center"/>
    </xf>
    <xf numFmtId="5" fontId="7" fillId="0" borderId="80"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0" fontId="5" fillId="0" borderId="0" xfId="0" applyFont="1" applyAlignment="1">
      <alignment horizontal="center"/>
    </xf>
    <xf numFmtId="5" fontId="38" fillId="0" borderId="0" xfId="0" applyNumberFormat="1" applyFont="1" applyAlignment="1">
      <alignment horizontal="center" wrapText="1"/>
    </xf>
    <xf numFmtId="0" fontId="4" fillId="0" borderId="93" xfId="0" applyFont="1" applyBorder="1" applyAlignment="1">
      <alignment horizontal="center" vertical="center" wrapText="1"/>
    </xf>
    <xf numFmtId="0" fontId="4" fillId="0" borderId="111" xfId="0" applyFont="1" applyBorder="1" applyAlignment="1">
      <alignment horizontal="center" vertical="center" wrapText="1"/>
    </xf>
    <xf numFmtId="0" fontId="4" fillId="11" borderId="78" xfId="0" applyFont="1" applyFill="1" applyBorder="1" applyAlignment="1">
      <alignment horizontal="center" vertical="center"/>
    </xf>
    <xf numFmtId="0" fontId="4" fillId="11" borderId="79" xfId="0" applyFont="1" applyFill="1" applyBorder="1" applyAlignment="1">
      <alignment horizontal="center" vertical="center"/>
    </xf>
    <xf numFmtId="0" fontId="4" fillId="11" borderId="80" xfId="0" applyFont="1" applyFill="1" applyBorder="1" applyAlignment="1">
      <alignment horizontal="center" vertical="center"/>
    </xf>
    <xf numFmtId="0" fontId="4" fillId="0" borderId="116"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65" fontId="6" fillId="0" borderId="33" xfId="2" applyNumberFormat="1" applyFont="1" applyBorder="1" applyAlignment="1">
      <alignment horizontal="left" vertical="center" wrapText="1"/>
    </xf>
    <xf numFmtId="165" fontId="7" fillId="3" borderId="0" xfId="2" applyNumberFormat="1" applyFont="1" applyFill="1" applyAlignment="1">
      <alignment horizontal="left" vertical="center"/>
    </xf>
    <xf numFmtId="165" fontId="6" fillId="0" borderId="0" xfId="2" applyNumberFormat="1" applyFont="1" applyBorder="1" applyAlignment="1">
      <alignment horizontal="left" vertical="center"/>
    </xf>
    <xf numFmtId="2" fontId="14" fillId="0" borderId="0" xfId="0" applyNumberFormat="1" applyFont="1" applyAlignment="1">
      <alignment vertical="center"/>
    </xf>
    <xf numFmtId="43" fontId="14" fillId="0" borderId="0" xfId="3" applyFont="1" applyAlignment="1">
      <alignment vertical="center"/>
    </xf>
    <xf numFmtId="0" fontId="46" fillId="0" borderId="0" xfId="0" applyFont="1" applyAlignment="1">
      <alignment horizontal="center" vertical="center"/>
    </xf>
    <xf numFmtId="0" fontId="14" fillId="0" borderId="0" xfId="0" applyFont="1" applyAlignment="1">
      <alignment vertical="center"/>
    </xf>
    <xf numFmtId="43" fontId="6" fillId="0" borderId="0" xfId="3" applyFont="1" applyAlignment="1">
      <alignment vertical="center"/>
    </xf>
    <xf numFmtId="43" fontId="2" fillId="0" borderId="0" xfId="0" applyNumberFormat="1" applyFont="1" applyAlignment="1">
      <alignment vertical="center"/>
    </xf>
    <xf numFmtId="43" fontId="0" fillId="0" borderId="0" xfId="0" applyNumberFormat="1" applyAlignment="1">
      <alignment vertical="center"/>
    </xf>
    <xf numFmtId="0" fontId="4" fillId="0" borderId="0" xfId="0" applyFont="1"/>
    <xf numFmtId="44" fontId="0" fillId="0" borderId="0" xfId="1" applyFont="1"/>
    <xf numFmtId="44" fontId="14" fillId="0" borderId="0" xfId="1" applyFont="1" applyAlignment="1">
      <alignment horizontal="center" vertical="center"/>
    </xf>
    <xf numFmtId="0" fontId="0" fillId="0" borderId="0" xfId="0" applyAlignment="1">
      <alignment horizontal="left" vertical="center"/>
    </xf>
    <xf numFmtId="0" fontId="47" fillId="0" borderId="0" xfId="0" applyFont="1" applyAlignment="1">
      <alignment vertical="center"/>
    </xf>
    <xf numFmtId="165" fontId="0" fillId="0" borderId="0" xfId="2" applyNumberFormat="1" applyFont="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layout/>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strRef>
              <c:f>'New Year-Full Year'!$AF$4:$AI$4</c:f>
            </c:strRef>
          </c:cat>
          <c:val>
            <c:numRef>
              <c:f>'New Year-Full Year'!$AF$151:$AI$151</c:f>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30</xdr:col>
      <xdr:colOff>539750</xdr:colOff>
      <xdr:row>153</xdr:row>
      <xdr:rowOff>6350</xdr:rowOff>
    </xdr:from>
    <xdr:to>
      <xdr:col>36</xdr:col>
      <xdr:colOff>82550</xdr:colOff>
      <xdr:row>177</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151</v>
      </c>
      <c r="C2" s="41">
        <v>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workbookViewId="0">
      <selection activeCell="U4" sqref="U4"/>
    </sheetView>
  </sheetViews>
  <sheetFormatPr defaultRowHeight="14.5" x14ac:dyDescent="0.35"/>
  <cols>
    <col min="1" max="1" width="7.453125" style="132" customWidth="1"/>
    <col min="2" max="2" width="39.26953125" style="132" customWidth="1"/>
    <col min="3" max="4" width="9.54296875" style="132" hidden="1" customWidth="1"/>
    <col min="5" max="6" width="9.36328125" style="132" hidden="1" customWidth="1"/>
    <col min="7" max="8" width="9.36328125" style="132" customWidth="1"/>
    <col min="9" max="9" width="1.7265625" style="132" customWidth="1"/>
    <col min="10" max="10" width="4" style="132" customWidth="1"/>
    <col min="11" max="11" width="4.54296875" style="132" customWidth="1"/>
    <col min="12" max="12" width="4" style="132" customWidth="1"/>
    <col min="13" max="13" width="4.54296875" style="132" customWidth="1"/>
    <col min="14" max="14" width="4" style="132" customWidth="1"/>
    <col min="15" max="15" width="4.54296875" style="132" customWidth="1"/>
    <col min="16" max="16" width="4" style="132" customWidth="1"/>
    <col min="17" max="17" width="4.54296875" style="132" customWidth="1"/>
    <col min="18" max="18" width="5.6328125" style="132" customWidth="1"/>
    <col min="19" max="16384" width="8.7265625" style="132"/>
  </cols>
  <sheetData>
    <row r="1" spans="1:20" ht="21" x14ac:dyDescent="0.35">
      <c r="A1" s="1166" t="s">
        <v>287</v>
      </c>
      <c r="B1" s="1166"/>
      <c r="C1" s="1166"/>
      <c r="D1" s="1166"/>
      <c r="E1" s="1166"/>
      <c r="F1" s="1166"/>
      <c r="G1" s="1166"/>
      <c r="H1" s="1166"/>
      <c r="I1" s="1166"/>
      <c r="J1" s="1166"/>
      <c r="K1" s="1166"/>
      <c r="L1" s="1166"/>
      <c r="M1" s="1166"/>
      <c r="N1" s="1166"/>
      <c r="O1" s="1166"/>
      <c r="P1" s="1166"/>
      <c r="Q1" s="1166"/>
      <c r="R1" s="1166"/>
    </row>
    <row r="2" spans="1:20" ht="15" thickBot="1" x14ac:dyDescent="0.4"/>
    <row r="3" spans="1:20" ht="32.5" customHeight="1" thickTop="1" thickBot="1" x14ac:dyDescent="0.4">
      <c r="C3" s="472" t="s">
        <v>179</v>
      </c>
      <c r="D3" s="472" t="s">
        <v>263</v>
      </c>
      <c r="E3" s="473" t="s">
        <v>337</v>
      </c>
      <c r="F3" s="473" t="s">
        <v>423</v>
      </c>
      <c r="G3" s="1123" t="s">
        <v>607</v>
      </c>
      <c r="H3" s="1062" t="s">
        <v>717</v>
      </c>
      <c r="I3" s="1270" t="s">
        <v>286</v>
      </c>
      <c r="J3" s="1270"/>
      <c r="K3" s="1270"/>
      <c r="L3" s="1270"/>
      <c r="M3" s="1270"/>
      <c r="N3" s="1270"/>
      <c r="O3" s="1270"/>
      <c r="P3" s="1270"/>
      <c r="Q3" s="1270"/>
      <c r="R3" s="1271"/>
    </row>
    <row r="4" spans="1:20" ht="15" thickTop="1" x14ac:dyDescent="0.35">
      <c r="A4" s="419"/>
      <c r="B4" s="308"/>
      <c r="C4" s="478"/>
      <c r="D4" s="479"/>
      <c r="E4" s="474"/>
      <c r="F4" s="474"/>
      <c r="G4" s="474"/>
      <c r="H4" s="474"/>
      <c r="I4" s="303"/>
      <c r="J4" s="315">
        <v>4</v>
      </c>
      <c r="K4" s="294" t="s">
        <v>219</v>
      </c>
      <c r="L4" s="315">
        <v>4</v>
      </c>
      <c r="M4" s="294" t="s">
        <v>222</v>
      </c>
      <c r="N4" s="315">
        <v>4</v>
      </c>
      <c r="O4" s="294" t="s">
        <v>217</v>
      </c>
      <c r="P4" s="315">
        <v>4</v>
      </c>
      <c r="Q4" s="294" t="s">
        <v>224</v>
      </c>
      <c r="R4" s="298"/>
    </row>
    <row r="5" spans="1:20" x14ac:dyDescent="0.35">
      <c r="A5" s="314"/>
      <c r="B5" s="294"/>
      <c r="C5" s="479"/>
      <c r="D5" s="479"/>
      <c r="E5" s="474"/>
      <c r="F5" s="474"/>
      <c r="G5" s="474"/>
      <c r="H5" s="474"/>
      <c r="I5" s="303"/>
      <c r="J5" s="315">
        <v>4</v>
      </c>
      <c r="K5" s="294" t="s">
        <v>220</v>
      </c>
      <c r="L5" s="315">
        <v>4</v>
      </c>
      <c r="M5" s="294" t="s">
        <v>215</v>
      </c>
      <c r="N5" s="315">
        <v>4</v>
      </c>
      <c r="O5" s="294" t="s">
        <v>223</v>
      </c>
      <c r="P5" s="315">
        <v>4</v>
      </c>
      <c r="Q5" s="294" t="s">
        <v>225</v>
      </c>
      <c r="R5" s="298"/>
    </row>
    <row r="6" spans="1:20" x14ac:dyDescent="0.35">
      <c r="A6" s="317" t="s">
        <v>213</v>
      </c>
      <c r="B6" s="318" t="s">
        <v>214</v>
      </c>
      <c r="C6" s="480">
        <v>52</v>
      </c>
      <c r="D6" s="480">
        <v>52</v>
      </c>
      <c r="E6" s="480">
        <v>52</v>
      </c>
      <c r="F6" s="480">
        <v>52</v>
      </c>
      <c r="G6" s="480">
        <v>53</v>
      </c>
      <c r="H6" s="475">
        <f>+SUM($J$4:$J$6)+SUM($L$4:$L$6)+SUM($N$4:$N$6)+SUM($P$4:$P$6)</f>
        <v>52</v>
      </c>
      <c r="I6" s="436"/>
      <c r="J6" s="319">
        <v>5</v>
      </c>
      <c r="K6" s="318" t="s">
        <v>221</v>
      </c>
      <c r="L6" s="319">
        <v>5</v>
      </c>
      <c r="M6" s="318" t="s">
        <v>216</v>
      </c>
      <c r="N6" s="319">
        <v>5</v>
      </c>
      <c r="O6" s="318" t="s">
        <v>218</v>
      </c>
      <c r="P6" s="319">
        <v>5</v>
      </c>
      <c r="Q6" s="318" t="s">
        <v>226</v>
      </c>
      <c r="R6" s="320"/>
    </row>
    <row r="7" spans="1:20" x14ac:dyDescent="0.35">
      <c r="A7" s="321"/>
      <c r="B7" s="322" t="s">
        <v>227</v>
      </c>
      <c r="C7" s="476">
        <v>4</v>
      </c>
      <c r="D7" s="476">
        <v>4</v>
      </c>
      <c r="E7" s="476">
        <v>4</v>
      </c>
      <c r="F7" s="476">
        <v>4</v>
      </c>
      <c r="G7" s="476">
        <v>4</v>
      </c>
      <c r="H7" s="476">
        <v>3</v>
      </c>
      <c r="I7" s="437"/>
      <c r="J7" s="322" t="s">
        <v>719</v>
      </c>
      <c r="K7" s="322"/>
      <c r="L7" s="322"/>
      <c r="M7" s="322"/>
      <c r="N7" s="322"/>
      <c r="O7" s="322"/>
      <c r="P7" s="322"/>
      <c r="Q7" s="322"/>
      <c r="R7" s="323"/>
    </row>
    <row r="8" spans="1:20" x14ac:dyDescent="0.35">
      <c r="A8" s="321"/>
      <c r="B8" s="322" t="s">
        <v>228</v>
      </c>
      <c r="C8" s="476">
        <v>6</v>
      </c>
      <c r="D8" s="476">
        <v>7</v>
      </c>
      <c r="E8" s="476">
        <v>7</v>
      </c>
      <c r="F8" s="476">
        <v>7</v>
      </c>
      <c r="G8" s="476">
        <v>7</v>
      </c>
      <c r="H8" s="476">
        <v>7</v>
      </c>
      <c r="I8" s="437"/>
      <c r="J8" s="322" t="s">
        <v>720</v>
      </c>
      <c r="K8" s="322"/>
      <c r="L8" s="322"/>
      <c r="M8" s="322"/>
      <c r="N8" s="322"/>
      <c r="O8" s="322"/>
      <c r="P8" s="322"/>
      <c r="Q8" s="322"/>
      <c r="R8" s="323"/>
    </row>
    <row r="9" spans="1:20" x14ac:dyDescent="0.35">
      <c r="A9" s="321"/>
      <c r="B9" s="322" t="s">
        <v>265</v>
      </c>
      <c r="C9" s="476">
        <v>1</v>
      </c>
      <c r="D9" s="476">
        <v>1</v>
      </c>
      <c r="E9" s="476">
        <v>1</v>
      </c>
      <c r="F9" s="476">
        <v>0</v>
      </c>
      <c r="G9" s="476">
        <v>1</v>
      </c>
      <c r="H9" s="476">
        <v>1</v>
      </c>
      <c r="I9" s="437"/>
      <c r="J9" s="322" t="s">
        <v>721</v>
      </c>
      <c r="K9" s="322"/>
      <c r="L9" s="322"/>
      <c r="M9" s="322"/>
      <c r="N9" s="322"/>
      <c r="O9" s="322"/>
      <c r="P9" s="322"/>
      <c r="Q9" s="322"/>
      <c r="R9" s="323"/>
    </row>
    <row r="10" spans="1:20" ht="15" thickBot="1" x14ac:dyDescent="0.4">
      <c r="A10" s="316"/>
      <c r="B10" s="304" t="s">
        <v>229</v>
      </c>
      <c r="C10" s="477">
        <v>15</v>
      </c>
      <c r="D10" s="477">
        <v>15</v>
      </c>
      <c r="E10" s="477">
        <v>15</v>
      </c>
      <c r="F10" s="477">
        <v>15</v>
      </c>
      <c r="G10" s="477">
        <v>15</v>
      </c>
      <c r="H10" s="477">
        <v>15</v>
      </c>
      <c r="I10" s="438"/>
      <c r="J10" s="304" t="s">
        <v>722</v>
      </c>
      <c r="K10" s="304"/>
      <c r="L10" s="304"/>
      <c r="M10" s="304"/>
      <c r="N10" s="304"/>
      <c r="O10" s="304"/>
      <c r="P10" s="304"/>
      <c r="Q10" s="304"/>
      <c r="R10" s="305"/>
    </row>
    <row r="11" spans="1:20" ht="16.5" customHeight="1" thickTop="1" thickBot="1" x14ac:dyDescent="0.4">
      <c r="A11" s="324"/>
    </row>
    <row r="12" spans="1:20" ht="49" customHeight="1" thickTop="1" thickBot="1" x14ac:dyDescent="0.4">
      <c r="A12" s="1068" t="s">
        <v>211</v>
      </c>
      <c r="B12" s="1065"/>
      <c r="C12" s="1067">
        <v>3000</v>
      </c>
      <c r="D12" s="1067">
        <v>3060</v>
      </c>
      <c r="E12" s="1067">
        <v>3091</v>
      </c>
      <c r="F12" s="1067">
        <v>3168</v>
      </c>
      <c r="G12" s="1067">
        <v>3263</v>
      </c>
      <c r="H12" s="1063">
        <f>ROUND(+G12*(1+'New Year-Full Year'!F71),0)</f>
        <v>3361</v>
      </c>
      <c r="I12" s="459"/>
      <c r="J12" s="1272" t="s">
        <v>304</v>
      </c>
      <c r="K12" s="1272"/>
      <c r="L12" s="1272"/>
      <c r="M12" s="1272"/>
      <c r="N12" s="1272"/>
      <c r="O12" s="1272"/>
      <c r="P12" s="1272"/>
      <c r="Q12" s="1272"/>
      <c r="R12" s="1273"/>
      <c r="T12" s="420"/>
    </row>
    <row r="13" spans="1:20" ht="15.5" thickTop="1" thickBot="1" x14ac:dyDescent="0.4">
      <c r="A13" s="1264" t="s">
        <v>620</v>
      </c>
      <c r="B13" s="1265"/>
      <c r="C13" s="1265"/>
      <c r="D13" s="1265"/>
      <c r="E13" s="1265"/>
      <c r="F13" s="1065"/>
      <c r="G13" s="1065"/>
      <c r="H13" s="1065"/>
      <c r="I13" s="1065"/>
      <c r="J13" s="1065"/>
      <c r="K13" s="1065"/>
      <c r="L13" s="1065"/>
      <c r="M13" s="1065"/>
      <c r="N13" s="1065"/>
      <c r="O13" s="1065"/>
      <c r="P13" s="1065"/>
      <c r="Q13" s="1065"/>
      <c r="R13" s="1066"/>
    </row>
    <row r="14" spans="1:20" ht="15" customHeight="1" thickTop="1" x14ac:dyDescent="0.35">
      <c r="A14" s="1254" t="s">
        <v>489</v>
      </c>
      <c r="B14" s="307" t="s">
        <v>446</v>
      </c>
      <c r="C14" s="481">
        <v>37</v>
      </c>
      <c r="D14" s="481">
        <v>37</v>
      </c>
      <c r="E14" s="482">
        <f>+E6-E10</f>
        <v>37</v>
      </c>
      <c r="F14" s="482">
        <f>+F6-F10</f>
        <v>37</v>
      </c>
      <c r="G14" s="482">
        <f>+G6-G10</f>
        <v>38</v>
      </c>
      <c r="H14" s="482">
        <f>+H6-H10</f>
        <v>37</v>
      </c>
      <c r="I14" s="439"/>
      <c r="J14" s="1278" t="s">
        <v>248</v>
      </c>
      <c r="K14" s="1278"/>
      <c r="L14" s="1278"/>
      <c r="M14" s="1278"/>
      <c r="N14" s="1278"/>
      <c r="O14" s="1278"/>
      <c r="P14" s="1278"/>
      <c r="Q14" s="1278"/>
      <c r="R14" s="1279"/>
    </row>
    <row r="15" spans="1:20" ht="14.5" customHeight="1" x14ac:dyDescent="0.35">
      <c r="A15" s="1255"/>
      <c r="B15" s="293" t="s">
        <v>438</v>
      </c>
      <c r="C15" s="483">
        <v>1</v>
      </c>
      <c r="D15" s="483">
        <v>1</v>
      </c>
      <c r="E15" s="483">
        <v>1</v>
      </c>
      <c r="F15" s="483">
        <v>1</v>
      </c>
      <c r="G15" s="483">
        <v>1</v>
      </c>
      <c r="H15" s="483">
        <v>1</v>
      </c>
      <c r="I15" s="440"/>
      <c r="J15" s="1280" t="s">
        <v>656</v>
      </c>
      <c r="K15" s="1280"/>
      <c r="L15" s="1280"/>
      <c r="M15" s="1280"/>
      <c r="N15" s="1280"/>
      <c r="O15" s="1280"/>
      <c r="P15" s="1280"/>
      <c r="Q15" s="1280"/>
      <c r="R15" s="1281"/>
    </row>
    <row r="16" spans="1:20" x14ac:dyDescent="0.35">
      <c r="A16" s="1255"/>
      <c r="B16" s="299" t="s">
        <v>726</v>
      </c>
      <c r="C16" s="484">
        <f t="shared" ref="C16:H16" si="0">+C14*C15</f>
        <v>37</v>
      </c>
      <c r="D16" s="484">
        <f t="shared" si="0"/>
        <v>37</v>
      </c>
      <c r="E16" s="484">
        <f t="shared" si="0"/>
        <v>37</v>
      </c>
      <c r="F16" s="484">
        <f t="shared" si="0"/>
        <v>37</v>
      </c>
      <c r="G16" s="484">
        <f t="shared" si="0"/>
        <v>38</v>
      </c>
      <c r="H16" s="484">
        <f t="shared" si="0"/>
        <v>37</v>
      </c>
      <c r="I16" s="441"/>
      <c r="J16" s="1282"/>
      <c r="K16" s="1282"/>
      <c r="L16" s="1282"/>
      <c r="M16" s="1282"/>
      <c r="N16" s="1282"/>
      <c r="O16" s="1282"/>
      <c r="P16" s="1282"/>
      <c r="Q16" s="1282"/>
      <c r="R16" s="1283"/>
    </row>
    <row r="17" spans="1:18" x14ac:dyDescent="0.35">
      <c r="A17" s="1256"/>
      <c r="B17" s="296" t="s">
        <v>442</v>
      </c>
      <c r="C17" s="485"/>
      <c r="D17" s="485"/>
      <c r="E17" s="485"/>
      <c r="F17" s="485"/>
      <c r="G17" s="485"/>
      <c r="H17" s="1124"/>
      <c r="I17" s="442"/>
      <c r="J17" s="145"/>
      <c r="K17" s="145"/>
      <c r="L17" s="198"/>
      <c r="M17" s="145"/>
      <c r="N17" s="198"/>
      <c r="O17" s="145"/>
      <c r="P17" s="198"/>
      <c r="Q17" s="145"/>
      <c r="R17" s="297"/>
    </row>
    <row r="18" spans="1:18" x14ac:dyDescent="0.35">
      <c r="A18" s="1256"/>
      <c r="B18" s="293" t="s">
        <v>439</v>
      </c>
      <c r="C18" s="483">
        <v>0</v>
      </c>
      <c r="D18" s="483">
        <v>0</v>
      </c>
      <c r="E18" s="483">
        <v>0</v>
      </c>
      <c r="F18" s="483">
        <v>4</v>
      </c>
      <c r="G18" s="486">
        <f>+G7</f>
        <v>4</v>
      </c>
      <c r="H18" s="486">
        <f>+H7</f>
        <v>3</v>
      </c>
      <c r="I18" s="440"/>
      <c r="J18" s="294" t="s">
        <v>435</v>
      </c>
      <c r="K18" s="177"/>
      <c r="M18" s="294"/>
      <c r="N18" s="177"/>
      <c r="O18" s="294"/>
      <c r="P18" s="177"/>
      <c r="Q18" s="294"/>
      <c r="R18" s="298"/>
    </row>
    <row r="19" spans="1:18" x14ac:dyDescent="0.35">
      <c r="A19" s="1256"/>
      <c r="B19" s="293" t="s">
        <v>440</v>
      </c>
      <c r="C19" s="486">
        <f>+C8</f>
        <v>6</v>
      </c>
      <c r="D19" s="486">
        <f>+D8</f>
        <v>7</v>
      </c>
      <c r="E19" s="486">
        <f>+E8</f>
        <v>7</v>
      </c>
      <c r="F19" s="486">
        <f>+F8</f>
        <v>7</v>
      </c>
      <c r="G19" s="486">
        <f>+G8</f>
        <v>7</v>
      </c>
      <c r="H19" s="486">
        <f>+H8</f>
        <v>7</v>
      </c>
      <c r="I19" s="443"/>
      <c r="J19" s="294" t="s">
        <v>230</v>
      </c>
      <c r="L19" s="177"/>
      <c r="M19" s="294"/>
      <c r="N19" s="177"/>
      <c r="O19" s="294"/>
      <c r="P19" s="177"/>
      <c r="Q19" s="294"/>
      <c r="R19" s="298"/>
    </row>
    <row r="20" spans="1:18" hidden="1" x14ac:dyDescent="0.35">
      <c r="A20" s="1256"/>
      <c r="B20" s="293" t="s">
        <v>441</v>
      </c>
      <c r="C20" s="486">
        <f t="shared" ref="C20:H20" si="1">SUM(C16:C19)</f>
        <v>43</v>
      </c>
      <c r="D20" s="486">
        <f t="shared" si="1"/>
        <v>44</v>
      </c>
      <c r="E20" s="486">
        <f t="shared" si="1"/>
        <v>44</v>
      </c>
      <c r="F20" s="486">
        <f t="shared" si="1"/>
        <v>48</v>
      </c>
      <c r="G20" s="486">
        <f t="shared" si="1"/>
        <v>49</v>
      </c>
      <c r="H20" s="486">
        <f t="shared" si="1"/>
        <v>47</v>
      </c>
      <c r="I20" s="443"/>
      <c r="J20" s="294"/>
      <c r="K20" s="294"/>
      <c r="L20" s="177"/>
      <c r="M20" s="294"/>
      <c r="N20" s="177"/>
      <c r="O20" s="294"/>
      <c r="P20" s="177"/>
      <c r="Q20" s="294"/>
      <c r="R20" s="298"/>
    </row>
    <row r="21" spans="1:18" hidden="1" x14ac:dyDescent="0.35">
      <c r="A21" s="1256"/>
      <c r="B21" s="293" t="s">
        <v>235</v>
      </c>
      <c r="C21" s="486">
        <f>C14</f>
        <v>37</v>
      </c>
      <c r="D21" s="486">
        <f>D14</f>
        <v>37</v>
      </c>
      <c r="E21" s="486">
        <f>E14</f>
        <v>37</v>
      </c>
      <c r="F21" s="486">
        <f>F14</f>
        <v>37</v>
      </c>
      <c r="G21" s="486">
        <v>0</v>
      </c>
      <c r="H21" s="483">
        <v>0</v>
      </c>
      <c r="I21" s="443"/>
      <c r="J21" s="294" t="s">
        <v>443</v>
      </c>
      <c r="L21" s="177"/>
      <c r="M21" s="294"/>
      <c r="N21" s="177"/>
      <c r="O21" s="294"/>
      <c r="P21" s="177"/>
      <c r="Q21" s="294"/>
      <c r="R21" s="298"/>
    </row>
    <row r="22" spans="1:18" x14ac:dyDescent="0.35">
      <c r="A22" s="1256"/>
      <c r="B22" s="299" t="s">
        <v>441</v>
      </c>
      <c r="C22" s="487">
        <f t="shared" ref="C22:H22" si="2">+C20+C21</f>
        <v>80</v>
      </c>
      <c r="D22" s="487">
        <f t="shared" si="2"/>
        <v>81</v>
      </c>
      <c r="E22" s="487">
        <f t="shared" si="2"/>
        <v>81</v>
      </c>
      <c r="F22" s="487">
        <f t="shared" si="2"/>
        <v>85</v>
      </c>
      <c r="G22" s="487">
        <f t="shared" si="2"/>
        <v>49</v>
      </c>
      <c r="H22" s="1127">
        <f t="shared" si="2"/>
        <v>47</v>
      </c>
      <c r="I22" s="444"/>
      <c r="J22" s="300"/>
      <c r="K22" s="300"/>
      <c r="L22" s="301"/>
      <c r="M22" s="300"/>
      <c r="N22" s="301"/>
      <c r="O22" s="300"/>
      <c r="P22" s="301"/>
      <c r="Q22" s="300"/>
      <c r="R22" s="302"/>
    </row>
    <row r="23" spans="1:18" x14ac:dyDescent="0.35">
      <c r="A23" s="1257" t="s">
        <v>233</v>
      </c>
      <c r="B23" s="145" t="s">
        <v>240</v>
      </c>
      <c r="C23" s="485">
        <v>6</v>
      </c>
      <c r="D23" s="485">
        <v>6</v>
      </c>
      <c r="E23" s="485">
        <v>6</v>
      </c>
      <c r="F23" s="485">
        <v>5</v>
      </c>
      <c r="G23" s="485">
        <v>5</v>
      </c>
      <c r="H23" s="485">
        <v>5</v>
      </c>
      <c r="I23" s="442"/>
      <c r="J23" s="145" t="s">
        <v>436</v>
      </c>
      <c r="K23" s="145"/>
      <c r="L23" s="198"/>
      <c r="M23" s="145"/>
      <c r="N23" s="198"/>
      <c r="O23" s="145"/>
      <c r="P23" s="198"/>
      <c r="Q23" s="145"/>
      <c r="R23" s="297"/>
    </row>
    <row r="24" spans="1:18" x14ac:dyDescent="0.35">
      <c r="A24" s="1258"/>
      <c r="B24" s="294" t="s">
        <v>444</v>
      </c>
      <c r="C24" s="483">
        <v>0</v>
      </c>
      <c r="D24" s="483">
        <v>3</v>
      </c>
      <c r="E24" s="483">
        <v>3</v>
      </c>
      <c r="F24" s="483">
        <v>3</v>
      </c>
      <c r="G24" s="483">
        <v>3</v>
      </c>
      <c r="H24" s="483">
        <v>3</v>
      </c>
      <c r="I24" s="440"/>
      <c r="J24" s="294"/>
      <c r="L24" s="177"/>
      <c r="M24" s="294"/>
      <c r="N24" s="177"/>
      <c r="O24" s="294"/>
      <c r="P24" s="177"/>
      <c r="Q24" s="294"/>
      <c r="R24" s="298"/>
    </row>
    <row r="25" spans="1:18" hidden="1" x14ac:dyDescent="0.35">
      <c r="A25" s="1258"/>
      <c r="B25" s="294" t="s">
        <v>232</v>
      </c>
      <c r="C25" s="488">
        <v>25</v>
      </c>
      <c r="D25" s="488">
        <v>25</v>
      </c>
      <c r="E25" s="488">
        <v>25</v>
      </c>
      <c r="F25" s="488">
        <v>25</v>
      </c>
      <c r="G25" s="488">
        <v>0</v>
      </c>
      <c r="H25" s="488">
        <v>0</v>
      </c>
      <c r="I25" s="445"/>
      <c r="J25" s="294"/>
      <c r="K25" s="294"/>
      <c r="L25" s="177"/>
      <c r="M25" s="294"/>
      <c r="N25" s="177"/>
      <c r="O25" s="294"/>
      <c r="P25" s="177"/>
      <c r="Q25" s="294"/>
      <c r="R25" s="298"/>
    </row>
    <row r="26" spans="1:18" x14ac:dyDescent="0.35">
      <c r="A26" s="1259"/>
      <c r="B26" s="300" t="s">
        <v>445</v>
      </c>
      <c r="C26" s="489">
        <v>30</v>
      </c>
      <c r="D26" s="489">
        <v>30</v>
      </c>
      <c r="E26" s="489">
        <v>30</v>
      </c>
      <c r="F26" s="489">
        <v>35</v>
      </c>
      <c r="G26" s="489">
        <v>60</v>
      </c>
      <c r="H26" s="1128">
        <f>+ROUND((G26*(1+'New Year-Full Year'!F71)),0)</f>
        <v>62</v>
      </c>
      <c r="I26" s="446"/>
      <c r="J26" s="300" t="s">
        <v>611</v>
      </c>
      <c r="K26" s="300"/>
      <c r="L26" s="301"/>
      <c r="M26" s="300"/>
      <c r="N26" s="301"/>
      <c r="O26" s="300"/>
      <c r="P26" s="301"/>
      <c r="Q26" s="300"/>
      <c r="R26" s="302"/>
    </row>
    <row r="27" spans="1:18" ht="14.5" hidden="1" customHeight="1" x14ac:dyDescent="0.35">
      <c r="A27" s="1130" t="s">
        <v>234</v>
      </c>
      <c r="B27" s="145" t="s">
        <v>231</v>
      </c>
      <c r="C27" s="490">
        <f>+C21*C23*C25</f>
        <v>5550</v>
      </c>
      <c r="D27" s="490">
        <f>(+D21*D23*D25)+(D24*2*D25)</f>
        <v>5700</v>
      </c>
      <c r="E27" s="490">
        <f>(+E21*E23*E25)+(E24*2*E25)</f>
        <v>5700</v>
      </c>
      <c r="F27" s="490">
        <f>(+F21*F23*F25)+(F24*2*F25)</f>
        <v>4775</v>
      </c>
      <c r="G27" s="490">
        <f>(+G21*G23*G25)+(G24*2*G25)</f>
        <v>0</v>
      </c>
      <c r="H27" s="1125">
        <f>(+H21*H23*H25)+(H24*2*H25)</f>
        <v>0</v>
      </c>
      <c r="I27" s="447"/>
      <c r="J27" s="145"/>
      <c r="K27" s="145"/>
      <c r="L27" s="198"/>
      <c r="M27" s="145"/>
      <c r="N27" s="198"/>
      <c r="O27" s="145"/>
      <c r="P27" s="198"/>
      <c r="Q27" s="145"/>
      <c r="R27" s="297"/>
    </row>
    <row r="28" spans="1:18" ht="14.5" customHeight="1" thickBot="1" x14ac:dyDescent="0.4">
      <c r="A28" s="1139"/>
      <c r="B28" s="1028" t="s">
        <v>727</v>
      </c>
      <c r="C28" s="491">
        <f>+C20*C23*C26</f>
        <v>7740</v>
      </c>
      <c r="D28" s="491">
        <f>(+D20*D23*D26)+(D24*2*D26)</f>
        <v>8100</v>
      </c>
      <c r="E28" s="491">
        <f>(+E20*E23*E26)+(E24*2*E26)</f>
        <v>8100</v>
      </c>
      <c r="F28" s="491">
        <f>(+F20*F23*F26)+(F24*2*F26)</f>
        <v>8610</v>
      </c>
      <c r="G28" s="491">
        <f>+(G22*G23*G26)+(G24*2*G26)</f>
        <v>15060</v>
      </c>
      <c r="H28" s="491">
        <f>+(H22*H23*H26)+(H24*2*H26)</f>
        <v>14942</v>
      </c>
      <c r="I28" s="448"/>
      <c r="J28" s="1028"/>
      <c r="K28" s="294"/>
      <c r="L28" s="177"/>
      <c r="M28" s="303"/>
      <c r="N28" s="177"/>
      <c r="O28" s="294"/>
      <c r="P28" s="177"/>
      <c r="Q28" s="294"/>
      <c r="R28" s="298"/>
    </row>
    <row r="29" spans="1:18" ht="15" customHeight="1" x14ac:dyDescent="0.35">
      <c r="A29" s="1263" t="s">
        <v>241</v>
      </c>
      <c r="B29" s="328" t="s">
        <v>723</v>
      </c>
      <c r="C29" s="506">
        <v>2</v>
      </c>
      <c r="D29" s="506">
        <v>2</v>
      </c>
      <c r="E29" s="506">
        <v>2</v>
      </c>
      <c r="F29" s="506">
        <v>2</v>
      </c>
      <c r="G29" s="1131">
        <v>0</v>
      </c>
      <c r="H29" s="1131">
        <v>1</v>
      </c>
      <c r="I29" s="457"/>
      <c r="J29" s="328"/>
      <c r="K29" s="328"/>
      <c r="L29" s="329"/>
      <c r="M29" s="328"/>
      <c r="N29" s="329"/>
      <c r="O29" s="328"/>
      <c r="P29" s="329"/>
      <c r="Q29" s="328"/>
      <c r="R29" s="330"/>
    </row>
    <row r="30" spans="1:18" ht="15" customHeight="1" x14ac:dyDescent="0.35">
      <c r="A30" s="1249"/>
      <c r="B30" s="294" t="s">
        <v>245</v>
      </c>
      <c r="C30" s="1132">
        <v>25</v>
      </c>
      <c r="D30" s="1132">
        <v>25</v>
      </c>
      <c r="E30" s="1132">
        <v>25</v>
      </c>
      <c r="F30" s="1132">
        <v>25</v>
      </c>
      <c r="G30" s="488">
        <v>0</v>
      </c>
      <c r="H30" s="491">
        <f>+H26</f>
        <v>62</v>
      </c>
      <c r="I30" s="1133"/>
      <c r="J30" s="294"/>
      <c r="K30" s="294"/>
      <c r="L30" s="177"/>
      <c r="M30" s="294"/>
      <c r="N30" s="177"/>
      <c r="O30" s="294"/>
      <c r="P30" s="177"/>
      <c r="Q30" s="294"/>
      <c r="R30" s="298"/>
    </row>
    <row r="31" spans="1:18" ht="15" thickBot="1" x14ac:dyDescent="0.4">
      <c r="A31" s="1134" t="s">
        <v>234</v>
      </c>
      <c r="B31" s="1135" t="s">
        <v>755</v>
      </c>
      <c r="C31" s="1136">
        <f t="shared" ref="C31:H31" si="3">+C22*C29*C30</f>
        <v>4000</v>
      </c>
      <c r="D31" s="1136">
        <f t="shared" si="3"/>
        <v>4050</v>
      </c>
      <c r="E31" s="1136">
        <f t="shared" si="3"/>
        <v>4050</v>
      </c>
      <c r="F31" s="1136">
        <f t="shared" si="3"/>
        <v>4250</v>
      </c>
      <c r="G31" s="1138">
        <f t="shared" si="3"/>
        <v>0</v>
      </c>
      <c r="H31" s="1138">
        <f t="shared" si="3"/>
        <v>2914</v>
      </c>
      <c r="I31" s="1008"/>
      <c r="J31" s="1009"/>
      <c r="K31" s="1009"/>
      <c r="L31" s="1009"/>
      <c r="M31" s="1009"/>
      <c r="N31" s="1009"/>
      <c r="O31" s="1009"/>
      <c r="P31" s="1009"/>
      <c r="Q31" s="1009"/>
      <c r="R31" s="1137"/>
    </row>
    <row r="32" spans="1:18" ht="15" thickBot="1" x14ac:dyDescent="0.4">
      <c r="A32" s="1140"/>
      <c r="B32" s="470" t="s">
        <v>236</v>
      </c>
      <c r="C32" s="492">
        <f>+C27+C28</f>
        <v>13290</v>
      </c>
      <c r="D32" s="492">
        <f>+D27+D28</f>
        <v>13800</v>
      </c>
      <c r="E32" s="493">
        <f>+E27+E28</f>
        <v>13800</v>
      </c>
      <c r="F32" s="1064">
        <f>+F27+F28</f>
        <v>13385</v>
      </c>
      <c r="G32" s="1064">
        <f>+G28+G31</f>
        <v>15060</v>
      </c>
      <c r="H32" s="1064">
        <f>+H28+H31</f>
        <v>17856</v>
      </c>
      <c r="I32" s="460"/>
      <c r="J32" s="422"/>
      <c r="K32" s="422"/>
      <c r="L32" s="422"/>
      <c r="M32" s="422"/>
      <c r="N32" s="422"/>
      <c r="O32" s="422"/>
      <c r="P32" s="422"/>
      <c r="Q32" s="422"/>
      <c r="R32" s="461"/>
    </row>
    <row r="33" spans="1:18" ht="15.5" thickTop="1" thickBot="1" x14ac:dyDescent="0.4">
      <c r="A33" s="1264" t="s">
        <v>621</v>
      </c>
      <c r="B33" s="1265"/>
      <c r="C33" s="1265"/>
      <c r="D33" s="1265"/>
      <c r="E33" s="1265"/>
      <c r="F33" s="1065"/>
      <c r="G33" s="1065"/>
      <c r="H33" s="1065"/>
      <c r="I33" s="1065"/>
      <c r="J33" s="1065"/>
      <c r="K33" s="1065"/>
      <c r="L33" s="1065"/>
      <c r="M33" s="1065"/>
      <c r="N33" s="1065"/>
      <c r="O33" s="1065"/>
      <c r="P33" s="1065"/>
      <c r="Q33" s="1065"/>
      <c r="R33" s="1066"/>
    </row>
    <row r="34" spans="1:18" ht="15.5" thickTop="1" thickBot="1" x14ac:dyDescent="0.4">
      <c r="A34" s="1266" t="s">
        <v>250</v>
      </c>
      <c r="B34" s="1267"/>
      <c r="C34" s="1267"/>
      <c r="D34" s="1267"/>
      <c r="E34" s="1267"/>
      <c r="F34" s="1070"/>
      <c r="G34" s="1070"/>
      <c r="H34" s="1070"/>
      <c r="I34" s="1070"/>
      <c r="J34" s="1070"/>
      <c r="K34" s="1070"/>
      <c r="L34" s="1070"/>
      <c r="M34" s="1070"/>
      <c r="N34" s="1070"/>
      <c r="O34" s="1070"/>
      <c r="P34" s="1070"/>
      <c r="Q34" s="1070"/>
      <c r="R34" s="1071"/>
    </row>
    <row r="35" spans="1:18" ht="15" customHeight="1" x14ac:dyDescent="0.35">
      <c r="A35" s="1249" t="s">
        <v>489</v>
      </c>
      <c r="B35" s="294" t="s">
        <v>437</v>
      </c>
      <c r="C35" s="498">
        <f t="shared" ref="C35:H35" si="4">+C10</f>
        <v>15</v>
      </c>
      <c r="D35" s="498">
        <f t="shared" si="4"/>
        <v>15</v>
      </c>
      <c r="E35" s="498">
        <f t="shared" si="4"/>
        <v>15</v>
      </c>
      <c r="F35" s="498">
        <f t="shared" si="4"/>
        <v>15</v>
      </c>
      <c r="G35" s="498">
        <f t="shared" si="4"/>
        <v>15</v>
      </c>
      <c r="H35" s="498">
        <f t="shared" si="4"/>
        <v>15</v>
      </c>
      <c r="I35" s="453"/>
      <c r="J35" s="1276" t="str">
        <f>+J10</f>
        <v>Memorial Day May 27 - Labor Day Sept 2, 2024</v>
      </c>
      <c r="K35" s="1276"/>
      <c r="L35" s="1276"/>
      <c r="M35" s="1276"/>
      <c r="N35" s="1276"/>
      <c r="O35" s="1276"/>
      <c r="P35" s="1276"/>
      <c r="Q35" s="1276"/>
      <c r="R35" s="1277"/>
    </row>
    <row r="36" spans="1:18" x14ac:dyDescent="0.35">
      <c r="A36" s="1249"/>
      <c r="B36" s="294" t="s">
        <v>438</v>
      </c>
      <c r="C36" s="495">
        <v>1</v>
      </c>
      <c r="D36" s="495">
        <v>1</v>
      </c>
      <c r="E36" s="495">
        <v>1</v>
      </c>
      <c r="F36" s="495">
        <v>1</v>
      </c>
      <c r="G36" s="495">
        <v>1</v>
      </c>
      <c r="H36" s="495">
        <v>1</v>
      </c>
      <c r="I36" s="450"/>
      <c r="J36" s="1276"/>
      <c r="K36" s="1276"/>
      <c r="L36" s="1276"/>
      <c r="M36" s="1276"/>
      <c r="N36" s="1276"/>
      <c r="O36" s="1276"/>
      <c r="P36" s="1276"/>
      <c r="Q36" s="1276"/>
      <c r="R36" s="1277"/>
    </row>
    <row r="37" spans="1:18" x14ac:dyDescent="0.35">
      <c r="A37" s="1250"/>
      <c r="B37" s="300" t="s">
        <v>449</v>
      </c>
      <c r="C37" s="496">
        <f t="shared" ref="C37:H37" si="5">+C35*C36</f>
        <v>15</v>
      </c>
      <c r="D37" s="496">
        <f t="shared" si="5"/>
        <v>15</v>
      </c>
      <c r="E37" s="496">
        <f t="shared" si="5"/>
        <v>15</v>
      </c>
      <c r="F37" s="496">
        <f t="shared" si="5"/>
        <v>15</v>
      </c>
      <c r="G37" s="496">
        <f t="shared" si="5"/>
        <v>15</v>
      </c>
      <c r="H37" s="496">
        <f t="shared" si="5"/>
        <v>15</v>
      </c>
      <c r="I37" s="451"/>
      <c r="J37" s="300"/>
      <c r="K37" s="300"/>
      <c r="L37" s="301"/>
      <c r="M37" s="300"/>
      <c r="N37" s="301"/>
      <c r="O37" s="300"/>
      <c r="P37" s="301"/>
      <c r="Q37" s="300"/>
      <c r="R37" s="302"/>
    </row>
    <row r="38" spans="1:18" x14ac:dyDescent="0.35">
      <c r="A38" s="1251" t="s">
        <v>241</v>
      </c>
      <c r="B38" s="145" t="s">
        <v>450</v>
      </c>
      <c r="C38" s="501">
        <v>3</v>
      </c>
      <c r="D38" s="501">
        <v>3</v>
      </c>
      <c r="E38" s="501">
        <v>3</v>
      </c>
      <c r="F38" s="501">
        <v>3</v>
      </c>
      <c r="G38" s="501">
        <v>3</v>
      </c>
      <c r="H38" s="501">
        <v>3</v>
      </c>
      <c r="I38" s="155"/>
      <c r="J38" s="145" t="s">
        <v>242</v>
      </c>
      <c r="L38" s="198"/>
      <c r="M38" s="145"/>
      <c r="N38" s="198"/>
      <c r="O38" s="145"/>
      <c r="P38" s="198"/>
      <c r="Q38" s="145"/>
      <c r="R38" s="297"/>
    </row>
    <row r="39" spans="1:18" x14ac:dyDescent="0.35">
      <c r="A39" s="1250"/>
      <c r="B39" s="300" t="s">
        <v>451</v>
      </c>
      <c r="C39" s="502">
        <v>50</v>
      </c>
      <c r="D39" s="502">
        <v>50</v>
      </c>
      <c r="E39" s="502">
        <v>50</v>
      </c>
      <c r="F39" s="502">
        <v>50</v>
      </c>
      <c r="G39" s="502">
        <v>60</v>
      </c>
      <c r="H39" s="1129">
        <f>+H26</f>
        <v>62</v>
      </c>
      <c r="I39" s="455"/>
      <c r="J39" s="300"/>
      <c r="K39" s="300"/>
      <c r="L39" s="301"/>
      <c r="M39" s="300"/>
      <c r="N39" s="301"/>
      <c r="O39" s="300"/>
      <c r="P39" s="301"/>
      <c r="Q39" s="300"/>
      <c r="R39" s="302"/>
    </row>
    <row r="40" spans="1:18" ht="15" thickBot="1" x14ac:dyDescent="0.4">
      <c r="A40" s="327" t="s">
        <v>234</v>
      </c>
      <c r="B40" s="325" t="s">
        <v>244</v>
      </c>
      <c r="C40" s="505">
        <f t="shared" ref="C40:H40" si="6">+C37*C38*C39</f>
        <v>2250</v>
      </c>
      <c r="D40" s="505">
        <f t="shared" si="6"/>
        <v>2250</v>
      </c>
      <c r="E40" s="505">
        <f t="shared" si="6"/>
        <v>2250</v>
      </c>
      <c r="F40" s="505">
        <f t="shared" si="6"/>
        <v>2250</v>
      </c>
      <c r="G40" s="505">
        <f t="shared" si="6"/>
        <v>2700</v>
      </c>
      <c r="H40" s="505">
        <f t="shared" si="6"/>
        <v>2790</v>
      </c>
      <c r="I40" s="456"/>
      <c r="J40" s="198"/>
      <c r="K40" s="198"/>
      <c r="L40" s="198"/>
      <c r="M40" s="198"/>
      <c r="N40" s="198"/>
      <c r="O40" s="198"/>
      <c r="P40" s="198"/>
      <c r="Q40" s="198"/>
      <c r="R40" s="326"/>
    </row>
    <row r="41" spans="1:18" ht="15" customHeight="1" x14ac:dyDescent="0.35">
      <c r="A41" s="1263" t="s">
        <v>241</v>
      </c>
      <c r="B41" s="328" t="s">
        <v>246</v>
      </c>
      <c r="C41" s="506">
        <v>2</v>
      </c>
      <c r="D41" s="506">
        <v>2</v>
      </c>
      <c r="E41" s="506">
        <v>2</v>
      </c>
      <c r="F41" s="506">
        <v>2</v>
      </c>
      <c r="G41" s="506">
        <v>0</v>
      </c>
      <c r="H41" s="506">
        <v>2</v>
      </c>
      <c r="I41" s="457"/>
      <c r="J41" s="328" t="s">
        <v>242</v>
      </c>
      <c r="K41" s="328"/>
      <c r="L41" s="329"/>
      <c r="M41" s="328"/>
      <c r="N41" s="329"/>
      <c r="O41" s="328"/>
      <c r="P41" s="329"/>
      <c r="Q41" s="328"/>
      <c r="R41" s="330"/>
    </row>
    <row r="42" spans="1:18" ht="15" customHeight="1" x14ac:dyDescent="0.35">
      <c r="A42" s="1250"/>
      <c r="B42" s="300" t="s">
        <v>245</v>
      </c>
      <c r="C42" s="502">
        <v>25</v>
      </c>
      <c r="D42" s="502">
        <v>25</v>
      </c>
      <c r="E42" s="502">
        <v>25</v>
      </c>
      <c r="F42" s="502">
        <v>25</v>
      </c>
      <c r="G42" s="502">
        <v>25</v>
      </c>
      <c r="H42" s="502">
        <v>25</v>
      </c>
      <c r="I42" s="455"/>
      <c r="J42" s="300"/>
      <c r="K42" s="300"/>
      <c r="L42" s="301"/>
      <c r="M42" s="300"/>
      <c r="N42" s="301"/>
      <c r="O42" s="300"/>
      <c r="P42" s="301"/>
      <c r="Q42" s="300"/>
      <c r="R42" s="302"/>
    </row>
    <row r="43" spans="1:18" ht="15" thickBot="1" x14ac:dyDescent="0.4">
      <c r="A43" s="331" t="s">
        <v>234</v>
      </c>
      <c r="B43" s="332" t="s">
        <v>247</v>
      </c>
      <c r="C43" s="507">
        <f>+C35*C41*C42</f>
        <v>750</v>
      </c>
      <c r="D43" s="507">
        <f>+D35*D41*D42</f>
        <v>750</v>
      </c>
      <c r="E43" s="507">
        <f>+E35*E41*E42</f>
        <v>750</v>
      </c>
      <c r="F43" s="507">
        <f>+F35*F41*F42</f>
        <v>750</v>
      </c>
      <c r="G43" s="507">
        <f>+G75*G41*G42</f>
        <v>0</v>
      </c>
      <c r="H43" s="507">
        <f>+H37*H41*H42</f>
        <v>750</v>
      </c>
      <c r="I43" s="458"/>
      <c r="J43" s="333"/>
      <c r="K43" s="333"/>
      <c r="L43" s="333"/>
      <c r="M43" s="333"/>
      <c r="N43" s="333"/>
      <c r="O43" s="333"/>
      <c r="P43" s="333"/>
      <c r="Q43" s="333"/>
      <c r="R43" s="334"/>
    </row>
    <row r="44" spans="1:18" ht="15" customHeight="1" x14ac:dyDescent="0.35">
      <c r="A44" s="1263" t="s">
        <v>241</v>
      </c>
      <c r="B44" s="328" t="s">
        <v>723</v>
      </c>
      <c r="C44" s="506">
        <v>2</v>
      </c>
      <c r="D44" s="506">
        <v>2</v>
      </c>
      <c r="E44" s="506">
        <v>2</v>
      </c>
      <c r="F44" s="506">
        <v>2</v>
      </c>
      <c r="G44" s="506">
        <v>0</v>
      </c>
      <c r="H44" s="506">
        <v>1</v>
      </c>
      <c r="I44" s="457"/>
      <c r="J44" s="328"/>
      <c r="K44" s="328"/>
      <c r="L44" s="329"/>
      <c r="M44" s="328"/>
      <c r="N44" s="329"/>
      <c r="O44" s="328"/>
      <c r="P44" s="329"/>
      <c r="Q44" s="328"/>
      <c r="R44" s="330"/>
    </row>
    <row r="45" spans="1:18" ht="15" customHeight="1" x14ac:dyDescent="0.35">
      <c r="A45" s="1250"/>
      <c r="B45" s="300" t="s">
        <v>728</v>
      </c>
      <c r="C45" s="502">
        <v>25</v>
      </c>
      <c r="D45" s="502">
        <v>25</v>
      </c>
      <c r="E45" s="502">
        <v>25</v>
      </c>
      <c r="F45" s="502">
        <v>25</v>
      </c>
      <c r="G45" s="502">
        <v>25</v>
      </c>
      <c r="H45" s="1129">
        <f>+H26</f>
        <v>62</v>
      </c>
      <c r="I45" s="455"/>
      <c r="J45" s="300"/>
      <c r="K45" s="300"/>
      <c r="L45" s="301"/>
      <c r="M45" s="300"/>
      <c r="N45" s="301"/>
      <c r="O45" s="300"/>
      <c r="P45" s="301"/>
      <c r="Q45" s="300"/>
      <c r="R45" s="302"/>
    </row>
    <row r="46" spans="1:18" ht="15" thickBot="1" x14ac:dyDescent="0.4">
      <c r="A46" s="331" t="s">
        <v>234</v>
      </c>
      <c r="B46" s="332" t="s">
        <v>724</v>
      </c>
      <c r="C46" s="507">
        <f>+C38*C44*C45</f>
        <v>150</v>
      </c>
      <c r="D46" s="507">
        <f>+D38*D44*D45</f>
        <v>150</v>
      </c>
      <c r="E46" s="507">
        <f>+E38*E44*E45</f>
        <v>150</v>
      </c>
      <c r="F46" s="507">
        <f>+F38*F44*F45</f>
        <v>150</v>
      </c>
      <c r="G46" s="507">
        <f>+G38*G44*G45</f>
        <v>0</v>
      </c>
      <c r="H46" s="507">
        <f>+H37*H44*H45</f>
        <v>930</v>
      </c>
      <c r="I46" s="458"/>
      <c r="J46" s="333"/>
      <c r="K46" s="333"/>
      <c r="L46" s="333"/>
      <c r="M46" s="333"/>
      <c r="N46" s="333"/>
      <c r="O46" s="333"/>
      <c r="P46" s="333"/>
      <c r="Q46" s="333"/>
      <c r="R46" s="334"/>
    </row>
    <row r="47" spans="1:18" ht="15" thickBot="1" x14ac:dyDescent="0.4">
      <c r="A47" s="313" t="s">
        <v>234</v>
      </c>
      <c r="B47" s="306" t="s">
        <v>725</v>
      </c>
      <c r="C47" s="508">
        <f>+C40+C43</f>
        <v>3000</v>
      </c>
      <c r="D47" s="508">
        <f>+D40+D43</f>
        <v>3000</v>
      </c>
      <c r="E47" s="509">
        <f>+E40+E43</f>
        <v>3000</v>
      </c>
      <c r="F47" s="509">
        <f>+F40+F43</f>
        <v>3000</v>
      </c>
      <c r="G47" s="509">
        <f>+G40+G43</f>
        <v>2700</v>
      </c>
      <c r="H47" s="509">
        <f>+H40+H43+H46</f>
        <v>4470</v>
      </c>
      <c r="I47" s="464"/>
      <c r="J47" s="422"/>
      <c r="K47" s="422"/>
      <c r="L47" s="422"/>
      <c r="M47" s="422"/>
      <c r="N47" s="422"/>
      <c r="O47" s="422"/>
      <c r="P47" s="422"/>
      <c r="Q47" s="422"/>
      <c r="R47" s="461"/>
    </row>
    <row r="48" spans="1:18" ht="15.5" thickTop="1" thickBot="1" x14ac:dyDescent="0.4">
      <c r="A48" s="1284" t="s">
        <v>622</v>
      </c>
      <c r="B48" s="1267"/>
      <c r="C48" s="1267"/>
      <c r="D48" s="1267"/>
      <c r="E48" s="1267"/>
      <c r="F48" s="1070"/>
      <c r="G48" s="1070"/>
      <c r="H48" s="1070"/>
      <c r="I48" s="1070"/>
      <c r="J48" s="1070"/>
      <c r="K48" s="1070"/>
      <c r="L48" s="1070"/>
      <c r="M48" s="1070"/>
      <c r="N48" s="1070"/>
      <c r="O48" s="1070"/>
      <c r="P48" s="1070"/>
      <c r="Q48" s="1070"/>
      <c r="R48" s="1071"/>
    </row>
    <row r="49" spans="1:18" ht="15" customHeight="1" x14ac:dyDescent="0.35">
      <c r="A49" s="1285" t="s">
        <v>489</v>
      </c>
      <c r="B49" s="328" t="s">
        <v>437</v>
      </c>
      <c r="C49" s="1014">
        <f>+C21</f>
        <v>37</v>
      </c>
      <c r="D49" s="1014">
        <f>+D21</f>
        <v>37</v>
      </c>
      <c r="E49" s="1014">
        <f>+E21</f>
        <v>37</v>
      </c>
      <c r="F49" s="1014">
        <v>0</v>
      </c>
      <c r="G49" s="1014">
        <f>+G6</f>
        <v>53</v>
      </c>
      <c r="H49" s="1014">
        <f>+H6</f>
        <v>52</v>
      </c>
      <c r="I49" s="1015"/>
      <c r="J49" s="1288" t="str">
        <f>+J21</f>
        <v>One day per week (excl Lent/Advent services)</v>
      </c>
      <c r="K49" s="1288"/>
      <c r="L49" s="1288"/>
      <c r="M49" s="1288"/>
      <c r="N49" s="1288"/>
      <c r="O49" s="1288"/>
      <c r="P49" s="1288"/>
      <c r="Q49" s="1288"/>
      <c r="R49" s="1289"/>
    </row>
    <row r="50" spans="1:18" x14ac:dyDescent="0.35">
      <c r="A50" s="1286"/>
      <c r="B50" s="294" t="s">
        <v>438</v>
      </c>
      <c r="C50" s="495">
        <v>1</v>
      </c>
      <c r="D50" s="495">
        <v>1</v>
      </c>
      <c r="E50" s="495">
        <v>1</v>
      </c>
      <c r="F50" s="495">
        <v>1</v>
      </c>
      <c r="G50" s="495">
        <v>1</v>
      </c>
      <c r="H50" s="495">
        <v>1</v>
      </c>
      <c r="I50" s="450"/>
      <c r="J50" s="1276"/>
      <c r="K50" s="1276"/>
      <c r="L50" s="1276"/>
      <c r="M50" s="1276"/>
      <c r="N50" s="1276"/>
      <c r="O50" s="1276"/>
      <c r="P50" s="1276"/>
      <c r="Q50" s="1276"/>
      <c r="R50" s="1290"/>
    </row>
    <row r="51" spans="1:18" ht="15" thickBot="1" x14ac:dyDescent="0.4">
      <c r="A51" s="1287"/>
      <c r="B51" s="300" t="s">
        <v>449</v>
      </c>
      <c r="C51" s="496">
        <f t="shared" ref="C51:H51" si="7">+C49*C50</f>
        <v>37</v>
      </c>
      <c r="D51" s="496">
        <f t="shared" si="7"/>
        <v>37</v>
      </c>
      <c r="E51" s="496">
        <f t="shared" si="7"/>
        <v>37</v>
      </c>
      <c r="F51" s="496">
        <f t="shared" si="7"/>
        <v>0</v>
      </c>
      <c r="G51" s="496">
        <f t="shared" si="7"/>
        <v>53</v>
      </c>
      <c r="H51" s="496">
        <f t="shared" si="7"/>
        <v>52</v>
      </c>
      <c r="I51" s="451"/>
      <c r="J51" s="300"/>
      <c r="K51" s="300"/>
      <c r="L51" s="301"/>
      <c r="M51" s="300"/>
      <c r="N51" s="301"/>
      <c r="O51" s="300"/>
      <c r="P51" s="301"/>
      <c r="Q51" s="300"/>
      <c r="R51" s="1016"/>
    </row>
    <row r="52" spans="1:18" ht="15" customHeight="1" x14ac:dyDescent="0.35">
      <c r="A52" s="1285" t="s">
        <v>241</v>
      </c>
      <c r="B52" s="328" t="s">
        <v>613</v>
      </c>
      <c r="C52" s="506">
        <v>2</v>
      </c>
      <c r="D52" s="506">
        <v>2</v>
      </c>
      <c r="E52" s="506">
        <v>2</v>
      </c>
      <c r="F52" s="506">
        <v>0</v>
      </c>
      <c r="G52" s="506">
        <v>1</v>
      </c>
      <c r="H52" s="506">
        <v>1</v>
      </c>
      <c r="I52" s="457"/>
      <c r="J52" s="328" t="s">
        <v>242</v>
      </c>
      <c r="K52" s="328"/>
      <c r="L52" s="329"/>
      <c r="M52" s="328"/>
      <c r="N52" s="329"/>
      <c r="O52" s="328"/>
      <c r="P52" s="329"/>
      <c r="Q52" s="328"/>
      <c r="R52" s="1017"/>
    </row>
    <row r="53" spans="1:18" ht="15" customHeight="1" x14ac:dyDescent="0.35">
      <c r="A53" s="1287"/>
      <c r="B53" s="300" t="s">
        <v>655</v>
      </c>
      <c r="C53" s="502">
        <v>25</v>
      </c>
      <c r="D53" s="502">
        <v>25</v>
      </c>
      <c r="E53" s="502">
        <v>25</v>
      </c>
      <c r="F53" s="502">
        <v>2759</v>
      </c>
      <c r="G53" s="502">
        <v>60</v>
      </c>
      <c r="H53" s="1129">
        <f>+H26</f>
        <v>62</v>
      </c>
      <c r="I53" s="455"/>
      <c r="J53" s="300"/>
      <c r="K53" s="300"/>
      <c r="L53" s="301"/>
      <c r="M53" s="300"/>
      <c r="N53" s="301"/>
      <c r="O53" s="300"/>
      <c r="P53" s="301"/>
      <c r="Q53" s="300"/>
      <c r="R53" s="1016"/>
    </row>
    <row r="54" spans="1:18" ht="15" thickBot="1" x14ac:dyDescent="0.4">
      <c r="A54" s="1018" t="s">
        <v>234</v>
      </c>
      <c r="B54" s="332" t="s">
        <v>614</v>
      </c>
      <c r="C54" s="507">
        <f>+C43*C52*C53</f>
        <v>37500</v>
      </c>
      <c r="D54" s="507">
        <f>+D43*D52*D53</f>
        <v>37500</v>
      </c>
      <c r="E54" s="507">
        <f>+E43*E52*E53</f>
        <v>37500</v>
      </c>
      <c r="F54" s="1072">
        <f>+F53</f>
        <v>2759</v>
      </c>
      <c r="G54" s="1072">
        <f>+G51*G52*G53</f>
        <v>3180</v>
      </c>
      <c r="H54" s="1072">
        <f>+H51*H52*H53</f>
        <v>3224</v>
      </c>
      <c r="I54" s="458"/>
      <c r="J54" s="333"/>
      <c r="K54" s="333"/>
      <c r="L54" s="333"/>
      <c r="M54" s="333"/>
      <c r="N54" s="333"/>
      <c r="O54" s="333"/>
      <c r="P54" s="333"/>
      <c r="Q54" s="333"/>
      <c r="R54" s="1019"/>
    </row>
    <row r="55" spans="1:18" ht="15" thickBot="1" x14ac:dyDescent="0.4">
      <c r="A55" s="1291" t="s">
        <v>623</v>
      </c>
      <c r="B55" s="1292"/>
      <c r="C55" s="1292"/>
      <c r="D55" s="1292"/>
      <c r="E55" s="1292"/>
      <c r="F55" s="1001"/>
      <c r="G55" s="1001"/>
      <c r="H55" s="1001"/>
      <c r="I55" s="1001"/>
      <c r="J55" s="1001"/>
      <c r="K55" s="1001"/>
      <c r="L55" s="1001"/>
      <c r="M55" s="1001"/>
      <c r="N55" s="1001"/>
      <c r="O55" s="1001"/>
      <c r="P55" s="1001"/>
      <c r="Q55" s="1001"/>
      <c r="R55" s="1002"/>
    </row>
    <row r="56" spans="1:18" x14ac:dyDescent="0.35">
      <c r="A56" s="1003"/>
      <c r="B56" s="1020" t="s">
        <v>616</v>
      </c>
      <c r="C56" s="1004"/>
      <c r="D56" s="1004"/>
      <c r="E56" s="1004"/>
      <c r="F56" s="1004"/>
      <c r="G56" s="1005">
        <v>125</v>
      </c>
      <c r="H56" s="1005">
        <v>125</v>
      </c>
      <c r="I56" s="1004"/>
      <c r="J56" s="329" t="s">
        <v>617</v>
      </c>
      <c r="K56" s="329"/>
      <c r="L56" s="329"/>
      <c r="M56" s="329"/>
      <c r="N56" s="329"/>
      <c r="O56" s="329"/>
      <c r="P56" s="329"/>
      <c r="Q56" s="329"/>
      <c r="R56" s="1006"/>
    </row>
    <row r="57" spans="1:18" ht="15" thickBot="1" x14ac:dyDescent="0.4">
      <c r="A57" s="1007"/>
      <c r="B57" s="1021" t="s">
        <v>618</v>
      </c>
      <c r="C57" s="1008"/>
      <c r="D57" s="1008"/>
      <c r="E57" s="1008"/>
      <c r="F57" s="1008">
        <v>3000</v>
      </c>
      <c r="G57" s="1073">
        <f>+G56*9</f>
        <v>1125</v>
      </c>
      <c r="H57" s="1073">
        <f>+H56*9</f>
        <v>1125</v>
      </c>
      <c r="I57" s="1008"/>
      <c r="J57" s="1009"/>
      <c r="K57" s="1009"/>
      <c r="L57" s="1009"/>
      <c r="M57" s="1009"/>
      <c r="N57" s="1009"/>
      <c r="O57" s="1009"/>
      <c r="P57" s="1009"/>
      <c r="Q57" s="1009"/>
      <c r="R57" s="1010"/>
    </row>
    <row r="58" spans="1:18" ht="15" thickBot="1" x14ac:dyDescent="0.4">
      <c r="A58" s="1074" t="s">
        <v>619</v>
      </c>
      <c r="B58" s="1075"/>
      <c r="C58" s="1076"/>
      <c r="D58" s="1076"/>
      <c r="E58" s="1076"/>
      <c r="F58" s="1077">
        <f>+F47+F54+F57</f>
        <v>8759</v>
      </c>
      <c r="G58" s="1077">
        <f>+G47+G54+G57</f>
        <v>7005</v>
      </c>
      <c r="H58" s="1077">
        <f>+H47+H54+H57</f>
        <v>8819</v>
      </c>
      <c r="I58" s="1011"/>
      <c r="J58" s="1012"/>
      <c r="K58" s="1012"/>
      <c r="L58" s="1012"/>
      <c r="M58" s="1012"/>
      <c r="N58" s="1012"/>
      <c r="O58" s="1012"/>
      <c r="P58" s="1012"/>
      <c r="Q58" s="1012"/>
      <c r="R58" s="1013"/>
    </row>
    <row r="59" spans="1:18" x14ac:dyDescent="0.35">
      <c r="A59" s="999"/>
      <c r="B59" s="1000"/>
      <c r="C59" s="467"/>
      <c r="D59" s="467"/>
      <c r="E59" s="467"/>
      <c r="F59" s="467"/>
      <c r="G59" s="998"/>
      <c r="H59" s="998"/>
      <c r="I59" s="467"/>
      <c r="J59" s="177"/>
      <c r="K59" s="177"/>
      <c r="L59" s="177"/>
      <c r="M59" s="177"/>
      <c r="N59" s="177"/>
      <c r="O59" s="177"/>
      <c r="P59" s="177"/>
      <c r="Q59" s="177"/>
      <c r="R59" s="177"/>
    </row>
    <row r="60" spans="1:18" ht="15" thickBot="1" x14ac:dyDescent="0.4">
      <c r="A60" s="999"/>
      <c r="B60" s="219"/>
      <c r="C60" s="467"/>
      <c r="D60" s="467"/>
      <c r="E60" s="467"/>
      <c r="F60" s="467"/>
      <c r="G60" s="467"/>
      <c r="H60" s="467"/>
      <c r="I60" s="467"/>
      <c r="J60" s="177"/>
      <c r="K60" s="177"/>
      <c r="L60" s="177"/>
      <c r="M60" s="177"/>
      <c r="N60" s="177"/>
      <c r="O60" s="177"/>
      <c r="P60" s="177"/>
      <c r="Q60" s="177"/>
      <c r="R60" s="177"/>
    </row>
    <row r="61" spans="1:18" ht="15.5" thickTop="1" thickBot="1" x14ac:dyDescent="0.4">
      <c r="A61" s="1268" t="s">
        <v>212</v>
      </c>
      <c r="B61" s="1269"/>
      <c r="C61" s="1269"/>
      <c r="D61" s="1269"/>
      <c r="E61" s="1269"/>
      <c r="F61" s="1078"/>
      <c r="G61" s="1078"/>
      <c r="H61" s="1078"/>
      <c r="I61" s="1078"/>
      <c r="J61" s="1078"/>
      <c r="K61" s="1078"/>
      <c r="L61" s="1078"/>
      <c r="M61" s="1078"/>
      <c r="N61" s="1078"/>
      <c r="O61" s="1078"/>
      <c r="P61" s="1078"/>
      <c r="Q61" s="1078"/>
      <c r="R61" s="1079"/>
    </row>
    <row r="62" spans="1:18" ht="15" customHeight="1" thickTop="1" x14ac:dyDescent="0.35">
      <c r="A62" s="1248" t="s">
        <v>489</v>
      </c>
      <c r="B62" s="308" t="s">
        <v>437</v>
      </c>
      <c r="C62" s="494">
        <f t="shared" ref="C62:H62" si="8">+C14</f>
        <v>37</v>
      </c>
      <c r="D62" s="494">
        <f t="shared" si="8"/>
        <v>37</v>
      </c>
      <c r="E62" s="494">
        <f t="shared" si="8"/>
        <v>37</v>
      </c>
      <c r="F62" s="494">
        <f t="shared" si="8"/>
        <v>37</v>
      </c>
      <c r="G62" s="494">
        <f t="shared" si="8"/>
        <v>38</v>
      </c>
      <c r="H62" s="494">
        <f t="shared" si="8"/>
        <v>37</v>
      </c>
      <c r="I62" s="449"/>
      <c r="J62" s="308"/>
      <c r="K62" s="308" t="s">
        <v>243</v>
      </c>
      <c r="L62" s="309"/>
      <c r="M62" s="308"/>
      <c r="N62" s="309"/>
      <c r="O62" s="308"/>
      <c r="P62" s="309"/>
      <c r="Q62" s="308"/>
      <c r="R62" s="310"/>
    </row>
    <row r="63" spans="1:18" x14ac:dyDescent="0.35">
      <c r="A63" s="1249"/>
      <c r="B63" s="294" t="s">
        <v>438</v>
      </c>
      <c r="C63" s="495">
        <v>1</v>
      </c>
      <c r="D63" s="495">
        <v>1</v>
      </c>
      <c r="E63" s="495">
        <v>1</v>
      </c>
      <c r="F63" s="495">
        <v>1</v>
      </c>
      <c r="G63" s="495">
        <v>1</v>
      </c>
      <c r="H63" s="495">
        <v>1</v>
      </c>
      <c r="I63" s="450"/>
      <c r="J63" s="294"/>
      <c r="K63" s="294"/>
      <c r="L63" s="177"/>
      <c r="M63" s="294"/>
      <c r="N63" s="177"/>
      <c r="O63" s="294"/>
      <c r="P63" s="177"/>
      <c r="Q63" s="294"/>
      <c r="R63" s="298"/>
    </row>
    <row r="64" spans="1:18" x14ac:dyDescent="0.35">
      <c r="A64" s="1250"/>
      <c r="B64" s="300" t="s">
        <v>449</v>
      </c>
      <c r="C64" s="496">
        <f t="shared" ref="C64:H64" si="9">+C62*C63</f>
        <v>37</v>
      </c>
      <c r="D64" s="496">
        <f t="shared" si="9"/>
        <v>37</v>
      </c>
      <c r="E64" s="496">
        <f t="shared" si="9"/>
        <v>37</v>
      </c>
      <c r="F64" s="496">
        <f t="shared" si="9"/>
        <v>37</v>
      </c>
      <c r="G64" s="496">
        <f t="shared" si="9"/>
        <v>38</v>
      </c>
      <c r="H64" s="496">
        <f t="shared" si="9"/>
        <v>37</v>
      </c>
      <c r="I64" s="451"/>
      <c r="J64" s="300"/>
      <c r="K64" s="300"/>
      <c r="L64" s="301"/>
      <c r="M64" s="300"/>
      <c r="N64" s="301"/>
      <c r="O64" s="300"/>
      <c r="P64" s="301"/>
      <c r="Q64" s="300"/>
      <c r="R64" s="302"/>
    </row>
    <row r="65" spans="1:18" x14ac:dyDescent="0.35">
      <c r="A65" s="1251" t="s">
        <v>241</v>
      </c>
      <c r="B65" s="145" t="s">
        <v>452</v>
      </c>
      <c r="C65" s="501">
        <v>1</v>
      </c>
      <c r="D65" s="501">
        <v>1</v>
      </c>
      <c r="E65" s="501">
        <v>1</v>
      </c>
      <c r="F65" s="501">
        <v>1</v>
      </c>
      <c r="G65" s="501">
        <v>0</v>
      </c>
      <c r="H65" s="501">
        <v>0</v>
      </c>
      <c r="I65" s="155"/>
      <c r="J65" s="145"/>
      <c r="K65" s="145"/>
      <c r="L65" s="198"/>
      <c r="M65" s="145"/>
      <c r="N65" s="198"/>
      <c r="O65" s="145"/>
      <c r="P65" s="198"/>
      <c r="Q65" s="145"/>
      <c r="R65" s="297"/>
    </row>
    <row r="66" spans="1:18" x14ac:dyDescent="0.35">
      <c r="A66" s="1250"/>
      <c r="B66" s="300" t="s">
        <v>451</v>
      </c>
      <c r="C66" s="502">
        <v>25</v>
      </c>
      <c r="D66" s="502">
        <v>25</v>
      </c>
      <c r="E66" s="502">
        <v>25</v>
      </c>
      <c r="F66" s="502">
        <v>25</v>
      </c>
      <c r="G66" s="502">
        <v>25</v>
      </c>
      <c r="H66" s="502">
        <v>25</v>
      </c>
      <c r="I66" s="455"/>
      <c r="J66" s="300"/>
      <c r="K66" s="300"/>
      <c r="L66" s="301"/>
      <c r="M66" s="300"/>
      <c r="N66" s="301"/>
      <c r="O66" s="300"/>
      <c r="P66" s="301"/>
      <c r="Q66" s="300"/>
      <c r="R66" s="302"/>
    </row>
    <row r="67" spans="1:18" ht="15" thickBot="1" x14ac:dyDescent="0.4">
      <c r="A67" s="313" t="s">
        <v>234</v>
      </c>
      <c r="B67" s="471" t="s">
        <v>422</v>
      </c>
      <c r="C67" s="503">
        <f t="shared" ref="C67:H67" si="10">+C64*C65*C66</f>
        <v>925</v>
      </c>
      <c r="D67" s="503">
        <f t="shared" si="10"/>
        <v>925</v>
      </c>
      <c r="E67" s="504">
        <f t="shared" si="10"/>
        <v>925</v>
      </c>
      <c r="F67" s="504">
        <f t="shared" si="10"/>
        <v>925</v>
      </c>
      <c r="G67" s="504">
        <f t="shared" si="10"/>
        <v>0</v>
      </c>
      <c r="H67" s="504">
        <f t="shared" si="10"/>
        <v>0</v>
      </c>
      <c r="I67" s="463"/>
      <c r="J67" s="462"/>
      <c r="K67" s="462"/>
      <c r="L67" s="462"/>
      <c r="M67" s="462"/>
      <c r="N67" s="462"/>
      <c r="O67" s="462"/>
      <c r="P67" s="462"/>
      <c r="Q67" s="462"/>
      <c r="R67" s="465"/>
    </row>
    <row r="68" spans="1:18" ht="15.5" thickTop="1" thickBot="1" x14ac:dyDescent="0.4">
      <c r="A68" s="1264" t="s">
        <v>460</v>
      </c>
      <c r="B68" s="1265"/>
      <c r="C68" s="1265"/>
      <c r="D68" s="1265"/>
      <c r="E68" s="1265"/>
      <c r="F68" s="1065"/>
      <c r="G68" s="1065"/>
      <c r="H68" s="1065"/>
      <c r="I68" s="1065"/>
      <c r="J68" s="1065"/>
      <c r="K68" s="1065"/>
      <c r="L68" s="1065"/>
      <c r="M68" s="1065"/>
      <c r="N68" s="1065"/>
      <c r="O68" s="1065"/>
      <c r="P68" s="1065"/>
      <c r="Q68" s="1065"/>
      <c r="R68" s="1066"/>
    </row>
    <row r="69" spans="1:18" ht="15" customHeight="1" thickTop="1" x14ac:dyDescent="0.35">
      <c r="A69" s="1260" t="s">
        <v>489</v>
      </c>
      <c r="B69" s="308" t="s">
        <v>446</v>
      </c>
      <c r="C69" s="494">
        <v>52</v>
      </c>
      <c r="D69" s="494">
        <v>52</v>
      </c>
      <c r="E69" s="494">
        <f>+E6</f>
        <v>52</v>
      </c>
      <c r="F69" s="494">
        <f>+F6</f>
        <v>52</v>
      </c>
      <c r="G69" s="494">
        <f>+G6</f>
        <v>53</v>
      </c>
      <c r="H69" s="1126">
        <f>+H6</f>
        <v>52</v>
      </c>
      <c r="I69" s="449"/>
      <c r="J69" s="308"/>
      <c r="K69" s="308"/>
      <c r="L69" s="309"/>
      <c r="M69" s="308"/>
      <c r="N69" s="309"/>
      <c r="O69" s="308"/>
      <c r="P69" s="309"/>
      <c r="Q69" s="308"/>
      <c r="R69" s="310"/>
    </row>
    <row r="70" spans="1:18" x14ac:dyDescent="0.35">
      <c r="A70" s="1261"/>
      <c r="B70" s="294" t="s">
        <v>438</v>
      </c>
      <c r="C70" s="495">
        <v>2</v>
      </c>
      <c r="D70" s="495">
        <v>2</v>
      </c>
      <c r="E70" s="495">
        <v>2</v>
      </c>
      <c r="F70" s="495">
        <v>2</v>
      </c>
      <c r="G70" s="495">
        <v>2</v>
      </c>
      <c r="H70" s="495">
        <v>2</v>
      </c>
      <c r="I70" s="450"/>
      <c r="J70" s="294"/>
      <c r="K70" s="294"/>
      <c r="L70" s="177"/>
      <c r="M70" s="294"/>
      <c r="N70" s="177"/>
      <c r="O70" s="294"/>
      <c r="P70" s="177"/>
      <c r="Q70" s="294"/>
      <c r="R70" s="298"/>
    </row>
    <row r="71" spans="1:18" x14ac:dyDescent="0.35">
      <c r="A71" s="1261"/>
      <c r="B71" s="300" t="s">
        <v>483</v>
      </c>
      <c r="C71" s="496">
        <f t="shared" ref="C71:H71" si="11">+C69*C70</f>
        <v>104</v>
      </c>
      <c r="D71" s="496">
        <f t="shared" si="11"/>
        <v>104</v>
      </c>
      <c r="E71" s="496">
        <f t="shared" si="11"/>
        <v>104</v>
      </c>
      <c r="F71" s="496">
        <f t="shared" si="11"/>
        <v>104</v>
      </c>
      <c r="G71" s="496">
        <f t="shared" si="11"/>
        <v>106</v>
      </c>
      <c r="H71" s="496">
        <f t="shared" si="11"/>
        <v>104</v>
      </c>
      <c r="I71" s="451"/>
      <c r="J71" s="300"/>
      <c r="K71" s="300"/>
      <c r="L71" s="301"/>
      <c r="M71" s="300"/>
      <c r="N71" s="301"/>
      <c r="O71" s="300"/>
      <c r="P71" s="301"/>
      <c r="Q71" s="300"/>
      <c r="R71" s="302"/>
    </row>
    <row r="72" spans="1:18" x14ac:dyDescent="0.35">
      <c r="A72" s="1261"/>
      <c r="B72" s="145" t="s">
        <v>484</v>
      </c>
      <c r="C72" s="497"/>
      <c r="D72" s="497"/>
      <c r="E72" s="497"/>
      <c r="F72" s="497"/>
      <c r="G72" s="497"/>
      <c r="H72" s="497"/>
      <c r="I72" s="452"/>
      <c r="J72" s="145"/>
      <c r="K72" s="145"/>
      <c r="L72" s="198"/>
      <c r="M72" s="145"/>
      <c r="N72" s="198"/>
      <c r="O72" s="145"/>
      <c r="P72" s="198"/>
      <c r="Q72" s="145"/>
      <c r="R72" s="297"/>
    </row>
    <row r="73" spans="1:18" x14ac:dyDescent="0.35">
      <c r="A73" s="1261"/>
      <c r="B73" s="294" t="s">
        <v>237</v>
      </c>
      <c r="C73" s="498">
        <f t="shared" ref="C73:H74" si="12">+C7</f>
        <v>4</v>
      </c>
      <c r="D73" s="498">
        <f t="shared" si="12"/>
        <v>4</v>
      </c>
      <c r="E73" s="498">
        <f t="shared" si="12"/>
        <v>4</v>
      </c>
      <c r="F73" s="498">
        <f t="shared" si="12"/>
        <v>4</v>
      </c>
      <c r="G73" s="498">
        <f t="shared" si="12"/>
        <v>4</v>
      </c>
      <c r="H73" s="498">
        <f t="shared" si="12"/>
        <v>3</v>
      </c>
      <c r="I73" s="453"/>
      <c r="J73" s="294"/>
      <c r="K73" s="294"/>
      <c r="L73" s="177"/>
      <c r="M73" s="294"/>
      <c r="N73" s="177"/>
      <c r="O73" s="294"/>
      <c r="P73" s="177"/>
      <c r="Q73" s="294"/>
      <c r="R73" s="298"/>
    </row>
    <row r="74" spans="1:18" x14ac:dyDescent="0.35">
      <c r="A74" s="1261"/>
      <c r="B74" s="294" t="s">
        <v>238</v>
      </c>
      <c r="C74" s="498">
        <f t="shared" si="12"/>
        <v>6</v>
      </c>
      <c r="D74" s="498">
        <f t="shared" si="12"/>
        <v>7</v>
      </c>
      <c r="E74" s="498">
        <f t="shared" si="12"/>
        <v>7</v>
      </c>
      <c r="F74" s="498">
        <f t="shared" si="12"/>
        <v>7</v>
      </c>
      <c r="G74" s="498">
        <f t="shared" si="12"/>
        <v>7</v>
      </c>
      <c r="H74" s="498">
        <f t="shared" si="12"/>
        <v>7</v>
      </c>
      <c r="I74" s="453"/>
      <c r="J74" s="294"/>
      <c r="K74" s="294"/>
      <c r="L74" s="177"/>
      <c r="M74" s="294"/>
      <c r="N74" s="177"/>
      <c r="O74" s="294"/>
      <c r="P74" s="177"/>
      <c r="Q74" s="294"/>
      <c r="R74" s="298"/>
    </row>
    <row r="75" spans="1:18" x14ac:dyDescent="0.35">
      <c r="A75" s="1261"/>
      <c r="B75" s="177" t="s">
        <v>239</v>
      </c>
      <c r="C75" s="499">
        <v>20</v>
      </c>
      <c r="D75" s="499">
        <v>20</v>
      </c>
      <c r="E75" s="499">
        <v>20</v>
      </c>
      <c r="F75" s="499">
        <v>0</v>
      </c>
      <c r="G75" s="499">
        <v>0</v>
      </c>
      <c r="H75" s="499">
        <v>0</v>
      </c>
      <c r="I75" s="454"/>
      <c r="J75" s="177" t="s">
        <v>447</v>
      </c>
      <c r="L75" s="177"/>
      <c r="M75" s="177"/>
      <c r="N75" s="177"/>
      <c r="O75" s="177"/>
      <c r="P75" s="177"/>
      <c r="Q75" s="177"/>
      <c r="R75" s="312"/>
    </row>
    <row r="76" spans="1:18" x14ac:dyDescent="0.35">
      <c r="A76" s="1262"/>
      <c r="B76" s="301" t="s">
        <v>485</v>
      </c>
      <c r="C76" s="500">
        <f t="shared" ref="C76:H76" si="13">SUM(C71:C75)</f>
        <v>134</v>
      </c>
      <c r="D76" s="500">
        <f t="shared" si="13"/>
        <v>135</v>
      </c>
      <c r="E76" s="500">
        <f t="shared" si="13"/>
        <v>135</v>
      </c>
      <c r="F76" s="500">
        <f t="shared" si="13"/>
        <v>115</v>
      </c>
      <c r="G76" s="500">
        <f t="shared" si="13"/>
        <v>117</v>
      </c>
      <c r="H76" s="500">
        <f t="shared" si="13"/>
        <v>114</v>
      </c>
      <c r="I76" s="301"/>
      <c r="J76" s="301"/>
      <c r="K76" s="301"/>
      <c r="L76" s="301"/>
      <c r="M76" s="301"/>
      <c r="N76" s="301"/>
      <c r="O76" s="301"/>
      <c r="P76" s="301"/>
      <c r="Q76" s="301"/>
      <c r="R76" s="311"/>
    </row>
    <row r="77" spans="1:18" x14ac:dyDescent="0.35">
      <c r="A77" s="1251" t="s">
        <v>241</v>
      </c>
      <c r="B77" s="145" t="s">
        <v>487</v>
      </c>
      <c r="C77" s="501">
        <v>1</v>
      </c>
      <c r="D77" s="501">
        <v>1</v>
      </c>
      <c r="E77" s="501">
        <v>1</v>
      </c>
      <c r="F77" s="501">
        <v>2</v>
      </c>
      <c r="G77" s="501">
        <v>0</v>
      </c>
      <c r="H77" s="501">
        <v>0</v>
      </c>
      <c r="I77" s="155"/>
      <c r="J77" s="145" t="s">
        <v>486</v>
      </c>
      <c r="K77" s="145"/>
      <c r="L77" s="198"/>
      <c r="M77" s="145"/>
      <c r="N77" s="198"/>
      <c r="O77" s="145"/>
      <c r="P77" s="198"/>
      <c r="Q77" s="145"/>
      <c r="R77" s="297"/>
    </row>
    <row r="78" spans="1:18" x14ac:dyDescent="0.35">
      <c r="A78" s="1250"/>
      <c r="B78" s="300" t="s">
        <v>448</v>
      </c>
      <c r="C78" s="502">
        <v>25</v>
      </c>
      <c r="D78" s="502">
        <v>25</v>
      </c>
      <c r="E78" s="502">
        <v>25</v>
      </c>
      <c r="F78" s="502">
        <v>25</v>
      </c>
      <c r="G78" s="502">
        <v>25</v>
      </c>
      <c r="H78" s="502">
        <v>25</v>
      </c>
      <c r="I78" s="455"/>
      <c r="J78" s="300"/>
      <c r="K78" s="300"/>
      <c r="L78" s="301"/>
      <c r="M78" s="300"/>
      <c r="N78" s="301"/>
      <c r="O78" s="300"/>
      <c r="P78" s="301"/>
      <c r="Q78" s="300"/>
      <c r="R78" s="302"/>
    </row>
    <row r="79" spans="1:18" ht="15" thickBot="1" x14ac:dyDescent="0.4">
      <c r="A79" s="313" t="s">
        <v>234</v>
      </c>
      <c r="B79" s="471" t="s">
        <v>488</v>
      </c>
      <c r="C79" s="503">
        <f t="shared" ref="C79:H79" si="14">+C76*C77*C78</f>
        <v>3350</v>
      </c>
      <c r="D79" s="503">
        <f t="shared" si="14"/>
        <v>3375</v>
      </c>
      <c r="E79" s="504">
        <f t="shared" si="14"/>
        <v>3375</v>
      </c>
      <c r="F79" s="1069">
        <f t="shared" si="14"/>
        <v>5750</v>
      </c>
      <c r="G79" s="1069">
        <f t="shared" si="14"/>
        <v>0</v>
      </c>
      <c r="H79" s="1069">
        <f t="shared" si="14"/>
        <v>0</v>
      </c>
      <c r="I79" s="463"/>
      <c r="J79" s="462"/>
      <c r="K79" s="1274"/>
      <c r="L79" s="1274"/>
      <c r="M79" s="1274"/>
      <c r="N79" s="1274"/>
      <c r="O79" s="1274"/>
      <c r="P79" s="1274"/>
      <c r="Q79" s="1274"/>
      <c r="R79" s="1275"/>
    </row>
    <row r="80" spans="1:18" ht="15" thickTop="1" x14ac:dyDescent="0.35">
      <c r="C80" s="295"/>
      <c r="D80" s="295"/>
      <c r="E80" s="295"/>
      <c r="F80" s="295"/>
      <c r="G80" s="295"/>
      <c r="H80" s="295"/>
      <c r="I80" s="466"/>
      <c r="J80" s="196"/>
      <c r="K80" s="196"/>
      <c r="L80" s="196"/>
      <c r="M80" s="196"/>
      <c r="N80" s="196"/>
      <c r="O80" s="196"/>
      <c r="P80" s="196"/>
      <c r="Q80" s="196"/>
      <c r="R80" s="196"/>
    </row>
    <row r="81" spans="1:18" ht="15.5" hidden="1" thickTop="1" thickBot="1" x14ac:dyDescent="0.4">
      <c r="A81" s="1252" t="s">
        <v>280</v>
      </c>
      <c r="B81" s="1253"/>
      <c r="C81" s="1080">
        <f>+C12+C32+C79+C47+C67</f>
        <v>23565</v>
      </c>
      <c r="D81" s="1081">
        <f>+D12+D32+D79+D47+D67</f>
        <v>24160</v>
      </c>
      <c r="E81" s="1080">
        <f>+E12+E32+E79+E47+E67</f>
        <v>24191</v>
      </c>
      <c r="F81" s="1082">
        <f>+F12+F32+F79+F58+F67</f>
        <v>31987</v>
      </c>
      <c r="G81" s="1082">
        <f>+G12+G32+G79+G58+G67</f>
        <v>25328</v>
      </c>
      <c r="H81" s="1082">
        <f>+H12+H32+H79+H58+H67</f>
        <v>30036</v>
      </c>
      <c r="I81" s="467"/>
      <c r="J81" s="177"/>
      <c r="K81" s="177"/>
      <c r="L81" s="177"/>
      <c r="M81" s="177"/>
      <c r="N81" s="177"/>
      <c r="O81" s="177"/>
      <c r="P81" s="177"/>
      <c r="Q81" s="177"/>
      <c r="R81" s="177"/>
    </row>
    <row r="82" spans="1:18" ht="15" hidden="1" thickTop="1" x14ac:dyDescent="0.35">
      <c r="A82" s="1244" t="s">
        <v>281</v>
      </c>
      <c r="B82" s="1245"/>
      <c r="C82" s="421"/>
      <c r="D82" s="421"/>
      <c r="E82" s="795">
        <f>+E81-D81</f>
        <v>31</v>
      </c>
      <c r="F82" s="793">
        <f>+F81-D81</f>
        <v>7827</v>
      </c>
      <c r="G82" s="793">
        <f>+G81-E81</f>
        <v>1137</v>
      </c>
      <c r="H82" s="793">
        <f>+H81-F81</f>
        <v>-1951</v>
      </c>
      <c r="I82" s="467"/>
      <c r="J82" s="177"/>
      <c r="K82" s="177"/>
      <c r="L82" s="177"/>
      <c r="M82" s="177"/>
      <c r="N82" s="177"/>
      <c r="O82" s="177"/>
      <c r="P82" s="177"/>
      <c r="Q82" s="177"/>
      <c r="R82" s="177"/>
    </row>
    <row r="83" spans="1:18" ht="15" hidden="1" thickBot="1" x14ac:dyDescent="0.4">
      <c r="A83" s="1246"/>
      <c r="B83" s="1247"/>
      <c r="C83" s="464"/>
      <c r="D83" s="464"/>
      <c r="E83" s="796">
        <f>+E82/D81</f>
        <v>1.2831125827814569E-3</v>
      </c>
      <c r="F83" s="794">
        <f>+F82/D81</f>
        <v>0.32396523178807946</v>
      </c>
      <c r="G83" s="794">
        <f>+G82/E81</f>
        <v>4.7000950766814105E-2</v>
      </c>
      <c r="H83" s="794">
        <f>+H82/F81</f>
        <v>-6.0993528621002283E-2</v>
      </c>
      <c r="I83" s="468"/>
      <c r="J83" s="177"/>
      <c r="K83" s="177"/>
      <c r="L83" s="177"/>
      <c r="M83" s="177"/>
      <c r="N83" s="177"/>
      <c r="O83" s="177"/>
      <c r="P83" s="177"/>
      <c r="Q83" s="177"/>
      <c r="R83" s="177"/>
    </row>
    <row r="84" spans="1:18" x14ac:dyDescent="0.35">
      <c r="I84" s="294"/>
      <c r="J84" s="294"/>
      <c r="K84" s="294"/>
      <c r="L84" s="177"/>
      <c r="M84" s="294"/>
      <c r="N84" s="177"/>
      <c r="O84" s="294"/>
      <c r="P84" s="177"/>
      <c r="Q84" s="294"/>
      <c r="R84" s="294"/>
    </row>
    <row r="85" spans="1:18" x14ac:dyDescent="0.35">
      <c r="D85" s="139"/>
      <c r="L85" s="196"/>
      <c r="N85" s="196"/>
      <c r="P85" s="196"/>
    </row>
    <row r="86" spans="1:18" x14ac:dyDescent="0.35">
      <c r="L86" s="196"/>
      <c r="N86" s="196"/>
      <c r="P86" s="196"/>
    </row>
    <row r="87" spans="1:18" x14ac:dyDescent="0.35">
      <c r="L87" s="196"/>
      <c r="N87" s="196"/>
      <c r="P87" s="196"/>
    </row>
    <row r="88" spans="1:18" x14ac:dyDescent="0.35">
      <c r="L88" s="196"/>
      <c r="N88" s="196"/>
      <c r="P88" s="196"/>
    </row>
    <row r="89" spans="1:18" x14ac:dyDescent="0.35">
      <c r="L89" s="196"/>
      <c r="N89" s="196"/>
      <c r="P89" s="196"/>
    </row>
    <row r="90" spans="1:18" x14ac:dyDescent="0.35">
      <c r="L90" s="196"/>
      <c r="N90" s="196"/>
      <c r="P90" s="196"/>
    </row>
    <row r="91" spans="1:18" x14ac:dyDescent="0.35">
      <c r="L91" s="196"/>
      <c r="N91" s="196"/>
      <c r="P91" s="196"/>
    </row>
    <row r="92" spans="1:18" x14ac:dyDescent="0.35">
      <c r="L92" s="196"/>
      <c r="N92" s="196"/>
      <c r="P92" s="196"/>
    </row>
    <row r="93" spans="1:18" x14ac:dyDescent="0.35">
      <c r="L93" s="196"/>
      <c r="N93" s="196"/>
      <c r="P93" s="196"/>
    </row>
    <row r="94" spans="1:18" x14ac:dyDescent="0.35">
      <c r="L94" s="196"/>
      <c r="N94" s="196"/>
      <c r="P94" s="196"/>
    </row>
    <row r="95" spans="1:18" x14ac:dyDescent="0.35">
      <c r="L95" s="196"/>
      <c r="N95" s="196"/>
      <c r="P95" s="196"/>
    </row>
    <row r="96" spans="1:18" x14ac:dyDescent="0.35">
      <c r="L96" s="196"/>
      <c r="N96" s="196"/>
      <c r="P96" s="196"/>
    </row>
    <row r="97" spans="12:16" x14ac:dyDescent="0.35">
      <c r="L97" s="196"/>
      <c r="N97" s="196"/>
      <c r="P97" s="196"/>
    </row>
    <row r="98" spans="12:16" x14ac:dyDescent="0.35">
      <c r="L98" s="196"/>
      <c r="N98" s="196"/>
      <c r="P98" s="196"/>
    </row>
    <row r="99" spans="12:16" x14ac:dyDescent="0.35">
      <c r="L99" s="196"/>
      <c r="N99" s="196"/>
      <c r="P99" s="196"/>
    </row>
  </sheetData>
  <mergeCells count="30">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s>
  <printOptions horizontalCentered="1" verticalCentered="1"/>
  <pageMargins left="0.2" right="0.2" top="0.25" bottom="0.25" header="0.3" footer="0.3"/>
  <pageSetup scale="64"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workbookViewId="0">
      <selection activeCell="C11" sqref="C11"/>
    </sheetView>
  </sheetViews>
  <sheetFormatPr defaultRowHeight="15.5" x14ac:dyDescent="0.35"/>
  <cols>
    <col min="1" max="1" width="1.7265625" style="337" customWidth="1"/>
    <col min="2" max="2" width="43.54296875" style="337" customWidth="1"/>
    <col min="3" max="3" width="10.26953125" style="361" customWidth="1"/>
    <col min="4" max="4" width="58.90625" style="337" customWidth="1"/>
    <col min="5" max="5" width="9.7265625" style="337" bestFit="1" customWidth="1"/>
    <col min="6" max="16384" width="8.7265625" style="337"/>
  </cols>
  <sheetData>
    <row r="1" spans="1:5" ht="20" x14ac:dyDescent="0.35">
      <c r="A1" s="1241" t="s">
        <v>82</v>
      </c>
      <c r="B1" s="1241"/>
      <c r="C1" s="1241"/>
      <c r="D1" s="1241"/>
      <c r="E1" s="1241"/>
    </row>
    <row r="2" spans="1:5" ht="18.5" customHeight="1" x14ac:dyDescent="0.35">
      <c r="A2" s="1242" t="s">
        <v>636</v>
      </c>
      <c r="B2" s="1242"/>
      <c r="C2" s="1242"/>
      <c r="D2" s="1242"/>
      <c r="E2" s="1242"/>
    </row>
    <row r="3" spans="1:5" ht="18.5" customHeight="1" thickBot="1" x14ac:dyDescent="0.4">
      <c r="A3" s="524"/>
      <c r="B3" s="524"/>
      <c r="C3" s="524"/>
      <c r="D3" s="524"/>
      <c r="E3" s="524"/>
    </row>
    <row r="4" spans="1:5" ht="30" hidden="1" customHeight="1" thickBot="1" x14ac:dyDescent="0.4">
      <c r="A4" s="524"/>
      <c r="B4" s="1303" t="s">
        <v>310</v>
      </c>
      <c r="C4" s="1304"/>
      <c r="D4" s="1304"/>
      <c r="E4" s="1305"/>
    </row>
    <row r="5" spans="1:5" hidden="1" x14ac:dyDescent="0.35">
      <c r="B5" s="525" t="s">
        <v>372</v>
      </c>
      <c r="C5" s="526">
        <f>+'New Year-Full Year'!P72+'New Year-Full Year'!P74</f>
        <v>79146</v>
      </c>
      <c r="D5" s="1293" t="str">
        <f>+"Annually  ($"&amp;'New Year-Full Year'!P72-22000&amp;" salary, $22000 housing, and $"&amp;'New Year-Full Year'!P74&amp;" FICA Tax)"</f>
        <v>Annually  ($51310 salary, $22000 housing, and $5836 FICA Tax)</v>
      </c>
      <c r="E5" s="1294"/>
    </row>
    <row r="6" spans="1:5" ht="16" hidden="1" thickBot="1" x14ac:dyDescent="0.4">
      <c r="B6" s="528" t="s">
        <v>309</v>
      </c>
      <c r="C6" s="527">
        <f>+'New Year-Full Year'!P76</f>
        <v>8212</v>
      </c>
      <c r="D6" s="1295" t="str">
        <f>"Annually (the Portico % to use is "&amp;'Pastor Karen'!Q39*100&amp;"%)"</f>
        <v>Annually (the Portico % to use is 22.5%)</v>
      </c>
      <c r="E6" s="1296"/>
    </row>
    <row r="7" spans="1:5" hidden="1" x14ac:dyDescent="0.35">
      <c r="B7" s="525" t="s">
        <v>373</v>
      </c>
      <c r="C7" s="526">
        <f>+'New Year-Full Year'!P84+'New Year-Full Year'!P86</f>
        <v>0</v>
      </c>
      <c r="D7" s="1293" t="str">
        <f>+"Annually  ($"&amp;'New Year-Full Year'!P84-20000&amp;" salary, $20000 housing, and $"&amp;'New Year-Full Year'!P86&amp;" FICA Tax)"</f>
        <v>Annually  ($-20000 salary, $20000 housing, and $0 FICA Tax)</v>
      </c>
      <c r="E7" s="1294"/>
    </row>
    <row r="8" spans="1:5" ht="16" hidden="1" thickBot="1" x14ac:dyDescent="0.4">
      <c r="B8" s="528" t="s">
        <v>309</v>
      </c>
      <c r="C8" s="527">
        <f>+'New Year-Full Year'!P87</f>
        <v>0</v>
      </c>
      <c r="D8" s="1295" t="str">
        <f>"Annually (the Portico % to use is "&amp;'Pastor Kelly'!E37*100&amp;"%)"</f>
        <v>Annually (the Portico % to use is 16%)</v>
      </c>
      <c r="E8" s="1296"/>
    </row>
    <row r="9" spans="1:5" ht="18.5" hidden="1" customHeight="1" thickBot="1" x14ac:dyDescent="0.4">
      <c r="A9" s="524"/>
      <c r="B9" s="524"/>
      <c r="C9" s="524"/>
      <c r="D9" s="524"/>
      <c r="E9" s="524"/>
    </row>
    <row r="10" spans="1:5" ht="30" customHeight="1" thickBot="1" x14ac:dyDescent="0.4">
      <c r="A10" s="343"/>
      <c r="B10" s="356" t="s">
        <v>253</v>
      </c>
      <c r="C10" s="357" t="s">
        <v>254</v>
      </c>
      <c r="D10" s="343"/>
      <c r="E10" s="660"/>
    </row>
    <row r="11" spans="1:5" ht="18.5" customHeight="1" x14ac:dyDescent="0.35">
      <c r="A11" s="343"/>
      <c r="B11" s="352" t="s">
        <v>688</v>
      </c>
      <c r="C11" s="353">
        <f>+'New Year-Full Year'!F96</f>
        <v>0</v>
      </c>
      <c r="D11" s="343"/>
      <c r="E11" s="343"/>
    </row>
    <row r="12" spans="1:5" ht="18.5" customHeight="1" x14ac:dyDescent="0.35">
      <c r="A12" s="343"/>
      <c r="B12" s="352" t="s">
        <v>307</v>
      </c>
      <c r="C12" s="353">
        <f>+'New Year-Full Year'!F109</f>
        <v>23.1</v>
      </c>
      <c r="D12" s="661"/>
      <c r="E12" s="343"/>
    </row>
    <row r="13" spans="1:5" ht="18.5" customHeight="1" x14ac:dyDescent="0.35">
      <c r="A13" s="343"/>
      <c r="B13" s="352" t="s">
        <v>308</v>
      </c>
      <c r="C13" s="353">
        <f>+'New Year-Full Year'!F111</f>
        <v>12.7</v>
      </c>
      <c r="D13" s="343"/>
      <c r="E13" s="343"/>
    </row>
    <row r="14" spans="1:5" ht="18.5" customHeight="1" x14ac:dyDescent="0.35">
      <c r="A14" s="850"/>
      <c r="B14" s="352" t="s">
        <v>525</v>
      </c>
      <c r="C14" s="353">
        <f>+'New Year-Full Year'!F110</f>
        <v>18.200000000000003</v>
      </c>
      <c r="D14" s="850"/>
      <c r="E14" s="850"/>
    </row>
    <row r="15" spans="1:5" ht="18.5" hidden="1" customHeight="1" x14ac:dyDescent="0.35">
      <c r="A15" s="343"/>
      <c r="B15" s="352" t="s">
        <v>526</v>
      </c>
      <c r="C15" s="353">
        <f>+'New Year-Full Year'!F113</f>
        <v>0</v>
      </c>
      <c r="D15" s="343"/>
      <c r="E15" s="343"/>
    </row>
    <row r="16" spans="1:5" ht="4" customHeight="1" thickBot="1" x14ac:dyDescent="0.4">
      <c r="A16" s="343"/>
      <c r="B16" s="354"/>
      <c r="C16" s="355"/>
      <c r="D16" s="343"/>
      <c r="E16" s="343"/>
    </row>
    <row r="17" spans="1:5" ht="8" customHeight="1" x14ac:dyDescent="0.35">
      <c r="A17" s="343"/>
      <c r="B17" s="343"/>
      <c r="C17" s="343"/>
      <c r="D17" s="343"/>
      <c r="E17" s="343"/>
    </row>
    <row r="18" spans="1:5" ht="18.5" customHeight="1" thickBot="1" x14ac:dyDescent="0.4">
      <c r="A18" s="343"/>
      <c r="B18" s="336" t="s">
        <v>252</v>
      </c>
      <c r="C18" s="343"/>
      <c r="D18" s="343"/>
      <c r="E18" s="343"/>
    </row>
    <row r="19" spans="1:5" ht="16" thickBot="1" x14ac:dyDescent="0.4">
      <c r="A19" s="338"/>
      <c r="B19" s="347" t="s">
        <v>256</v>
      </c>
      <c r="C19" s="359"/>
      <c r="D19" s="1299" t="s">
        <v>255</v>
      </c>
      <c r="E19" s="1300"/>
    </row>
    <row r="20" spans="1:5" ht="52" customHeight="1" thickBot="1" x14ac:dyDescent="0.4">
      <c r="B20" s="358" t="s">
        <v>211</v>
      </c>
      <c r="C20" s="406">
        <f>+'Band and Other Music'!G12</f>
        <v>3263</v>
      </c>
      <c r="D20" s="1301" t="s">
        <v>490</v>
      </c>
      <c r="E20" s="1302"/>
    </row>
    <row r="21" spans="1:5" ht="33" customHeight="1" thickBot="1" x14ac:dyDescent="0.4">
      <c r="B21" s="358" t="s">
        <v>104</v>
      </c>
      <c r="C21" s="406">
        <f>+'New Year-Full Year'!P100</f>
        <v>17818</v>
      </c>
      <c r="D21" s="1301" t="s">
        <v>182</v>
      </c>
      <c r="E21" s="1302"/>
    </row>
    <row r="22" spans="1:5" ht="16" thickBot="1" x14ac:dyDescent="0.4">
      <c r="A22" s="344"/>
      <c r="B22" s="339"/>
      <c r="C22" s="360"/>
      <c r="D22" s="339"/>
    </row>
    <row r="23" spans="1:5" ht="16" thickBot="1" x14ac:dyDescent="0.4">
      <c r="A23" s="340"/>
      <c r="B23" s="347" t="s">
        <v>674</v>
      </c>
      <c r="C23" s="359"/>
      <c r="D23" s="348"/>
      <c r="E23" s="349"/>
    </row>
    <row r="24" spans="1:5" ht="16" thickBot="1" x14ac:dyDescent="0.4">
      <c r="A24" s="1101"/>
      <c r="B24" s="345" t="s">
        <v>527</v>
      </c>
      <c r="C24" s="407">
        <f>+'Band and Other Music'!G26</f>
        <v>60</v>
      </c>
      <c r="D24" s="1297"/>
      <c r="E24" s="1298"/>
    </row>
    <row r="25" spans="1:5" x14ac:dyDescent="0.35">
      <c r="A25" s="340"/>
    </row>
    <row r="26" spans="1:5" x14ac:dyDescent="0.35">
      <c r="A26" s="340"/>
    </row>
    <row r="27" spans="1:5" x14ac:dyDescent="0.35">
      <c r="A27" s="340"/>
    </row>
    <row r="28" spans="1:5" x14ac:dyDescent="0.35">
      <c r="A28" s="340"/>
    </row>
    <row r="29" spans="1:5" x14ac:dyDescent="0.35">
      <c r="A29" s="340"/>
    </row>
    <row r="30" spans="1:5" x14ac:dyDescent="0.35">
      <c r="A30" s="340"/>
    </row>
    <row r="31" spans="1:5" x14ac:dyDescent="0.35">
      <c r="A31" s="340"/>
    </row>
    <row r="32" spans="1:5" x14ac:dyDescent="0.35">
      <c r="A32" s="340"/>
    </row>
    <row r="33" spans="1:1" x14ac:dyDescent="0.35">
      <c r="A33" s="340"/>
    </row>
    <row r="34" spans="1:1" x14ac:dyDescent="0.35">
      <c r="A34" s="340"/>
    </row>
    <row r="35" spans="1:1" x14ac:dyDescent="0.35">
      <c r="A35" s="340"/>
    </row>
    <row r="36" spans="1:1" x14ac:dyDescent="0.35">
      <c r="A36" s="340"/>
    </row>
    <row r="37" spans="1:1" x14ac:dyDescent="0.35">
      <c r="A37" s="340"/>
    </row>
    <row r="38" spans="1:1" x14ac:dyDescent="0.35">
      <c r="A38" s="340"/>
    </row>
    <row r="39" spans="1:1" x14ac:dyDescent="0.35">
      <c r="A39" s="340"/>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318</v>
      </c>
    </row>
    <row r="3" spans="2:7" ht="58" x14ac:dyDescent="0.35">
      <c r="C3" s="540" t="s">
        <v>328</v>
      </c>
      <c r="D3" s="540" t="s">
        <v>329</v>
      </c>
      <c r="E3" s="540"/>
      <c r="F3" s="541" t="s">
        <v>327</v>
      </c>
      <c r="G3" s="540" t="s">
        <v>325</v>
      </c>
    </row>
    <row r="4" spans="2:7" x14ac:dyDescent="0.35">
      <c r="B4">
        <v>2018</v>
      </c>
      <c r="C4" s="542">
        <f>52894+15868</f>
        <v>68762</v>
      </c>
      <c r="D4" s="542">
        <f>52894+15868</f>
        <v>68762</v>
      </c>
      <c r="E4" s="542" t="s">
        <v>321</v>
      </c>
      <c r="F4" s="546">
        <f>52894+15868</f>
        <v>68762</v>
      </c>
      <c r="G4" s="543">
        <f>+F4-D4</f>
        <v>0</v>
      </c>
    </row>
    <row r="6" spans="2:7" x14ac:dyDescent="0.35">
      <c r="B6" t="s">
        <v>319</v>
      </c>
      <c r="C6" s="543">
        <f>+ROUND(C4*(1+0.02),2)</f>
        <v>70137.240000000005</v>
      </c>
      <c r="D6" s="545">
        <v>71240</v>
      </c>
      <c r="E6" s="545" t="s">
        <v>322</v>
      </c>
      <c r="F6" s="546">
        <v>70137</v>
      </c>
      <c r="G6" s="543">
        <f>+F6-D6</f>
        <v>-1103</v>
      </c>
    </row>
    <row r="7" spans="2:7" x14ac:dyDescent="0.35">
      <c r="C7" s="544">
        <f>(+C6-C4)/C4</f>
        <v>2.0000000000000077E-2</v>
      </c>
      <c r="D7" s="544">
        <f>(+D6-D4)/D4</f>
        <v>3.6037346208661759E-2</v>
      </c>
      <c r="E7" s="544"/>
    </row>
    <row r="8" spans="2:7" x14ac:dyDescent="0.35">
      <c r="C8" s="544"/>
      <c r="D8" s="544"/>
      <c r="E8" s="544"/>
    </row>
    <row r="9" spans="2:7" x14ac:dyDescent="0.35">
      <c r="B9" t="s">
        <v>320</v>
      </c>
      <c r="C9" s="543">
        <f>+ROUND(C6*(1+0.02),2)</f>
        <v>71539.98</v>
      </c>
      <c r="D9" s="545">
        <v>73783</v>
      </c>
      <c r="E9" s="545" t="s">
        <v>323</v>
      </c>
      <c r="F9" s="546">
        <v>71540</v>
      </c>
      <c r="G9" s="543">
        <f>+F9-D9</f>
        <v>-2243</v>
      </c>
    </row>
    <row r="10" spans="2:7" x14ac:dyDescent="0.35">
      <c r="C10" s="544">
        <f>(+C9-C6)/C6</f>
        <v>1.9999931562747417E-2</v>
      </c>
      <c r="D10" s="544">
        <f>(+D9-D6)/D6</f>
        <v>3.5696238068500842E-2</v>
      </c>
      <c r="E10" s="544"/>
    </row>
    <row r="11" spans="2:7" x14ac:dyDescent="0.35">
      <c r="C11" s="543"/>
      <c r="D11" s="543"/>
      <c r="E11" s="543"/>
    </row>
    <row r="12" spans="2:7" x14ac:dyDescent="0.35">
      <c r="B12" t="s">
        <v>326</v>
      </c>
      <c r="C12" s="543">
        <f>+ROUND(C9*(1+0.01),2)</f>
        <v>72255.38</v>
      </c>
      <c r="D12" s="545">
        <v>75618</v>
      </c>
      <c r="E12" s="545" t="s">
        <v>324</v>
      </c>
      <c r="F12" s="547">
        <f>+F9*(1+0.01)</f>
        <v>72255.399999999994</v>
      </c>
      <c r="G12" s="547">
        <f>+D12-F9</f>
        <v>4078</v>
      </c>
    </row>
    <row r="13" spans="2:7" x14ac:dyDescent="0.35">
      <c r="C13" s="544">
        <f>(+C12-C9)/C9</f>
        <v>1.0000002795639708E-2</v>
      </c>
      <c r="D13" s="544">
        <f>(+D12-D9)/D9</f>
        <v>2.4870227559193853E-2</v>
      </c>
      <c r="E13" s="544"/>
      <c r="F13" s="544">
        <f>(+F12-F9)/F9</f>
        <v>9.9999999999999187E-3</v>
      </c>
      <c r="G13" s="544">
        <f>+G12/F9</f>
        <v>5.7003075202683814E-2</v>
      </c>
    </row>
    <row r="16" spans="2:7" x14ac:dyDescent="0.35">
      <c r="D16" s="543"/>
      <c r="F16" s="548">
        <f>2000/F9</f>
        <v>2.7956388034665922E-2</v>
      </c>
    </row>
    <row r="17" spans="4:4" x14ac:dyDescent="0.35">
      <c r="D17" s="543"/>
    </row>
  </sheetData>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32" customWidth="1"/>
    <col min="2" max="2" width="13.90625" style="132" customWidth="1"/>
    <col min="3" max="3" width="8.7265625" style="132"/>
    <col min="4" max="4" width="40.54296875" style="132" customWidth="1"/>
    <col min="5" max="16384" width="8.7265625" style="132"/>
  </cols>
  <sheetData>
    <row r="1" spans="1:5" ht="21" x14ac:dyDescent="0.35">
      <c r="A1" s="1166" t="s">
        <v>675</v>
      </c>
      <c r="B1" s="1166"/>
    </row>
    <row r="2" spans="1:5" x14ac:dyDescent="0.35">
      <c r="B2" s="1107"/>
    </row>
    <row r="3" spans="1:5" ht="43.5" customHeight="1" x14ac:dyDescent="0.35">
      <c r="A3" s="818"/>
      <c r="B3" s="1113" t="s">
        <v>330</v>
      </c>
    </row>
    <row r="4" spans="1:5" ht="14.5" customHeight="1" x14ac:dyDescent="0.35">
      <c r="A4" s="1106" t="s">
        <v>178</v>
      </c>
      <c r="B4" s="1111">
        <v>71175</v>
      </c>
      <c r="D4" s="132" t="s">
        <v>687</v>
      </c>
    </row>
    <row r="5" spans="1:5" hidden="1" x14ac:dyDescent="0.35">
      <c r="A5" s="169" t="s">
        <v>493</v>
      </c>
      <c r="B5" s="747">
        <v>7.6499999999999999E-2</v>
      </c>
    </row>
    <row r="6" spans="1:5" x14ac:dyDescent="0.35">
      <c r="A6" s="169" t="s">
        <v>272</v>
      </c>
      <c r="B6" s="129">
        <f>ROUND(+B4*B5,0)</f>
        <v>5445</v>
      </c>
    </row>
    <row r="7" spans="1:5" x14ac:dyDescent="0.35">
      <c r="A7" s="1108" t="s">
        <v>180</v>
      </c>
      <c r="B7" s="1112">
        <f>+B4+B6</f>
        <v>76620</v>
      </c>
    </row>
    <row r="8" spans="1:5" x14ac:dyDescent="0.35">
      <c r="A8" s="169" t="s">
        <v>274</v>
      </c>
      <c r="B8" s="148">
        <f>800*12</f>
        <v>9600</v>
      </c>
    </row>
    <row r="9" spans="1:5" x14ac:dyDescent="0.35">
      <c r="A9" s="1109" t="s">
        <v>160</v>
      </c>
      <c r="B9" s="148">
        <f>+E14</f>
        <v>7662</v>
      </c>
      <c r="D9" s="197" t="s">
        <v>477</v>
      </c>
      <c r="E9" s="596">
        <v>0.1</v>
      </c>
    </row>
    <row r="10" spans="1:5" x14ac:dyDescent="0.35">
      <c r="A10" s="1109" t="s">
        <v>676</v>
      </c>
      <c r="B10" s="148">
        <f>+E25</f>
        <v>1686</v>
      </c>
      <c r="D10" s="176" t="s">
        <v>188</v>
      </c>
      <c r="E10" s="135">
        <f>+B7</f>
        <v>76620</v>
      </c>
    </row>
    <row r="11" spans="1:5" x14ac:dyDescent="0.35">
      <c r="A11" s="1109" t="s">
        <v>677</v>
      </c>
      <c r="B11" s="151">
        <v>1500</v>
      </c>
      <c r="D11" s="176" t="s">
        <v>160</v>
      </c>
      <c r="E11" s="135">
        <f>ROUND(+E10*E9,0)</f>
        <v>7662</v>
      </c>
    </row>
    <row r="12" spans="1:5" x14ac:dyDescent="0.35">
      <c r="A12" s="1109" t="s">
        <v>678</v>
      </c>
      <c r="B12" s="151">
        <v>1300</v>
      </c>
      <c r="D12" s="176" t="s">
        <v>191</v>
      </c>
      <c r="E12" s="598">
        <f>+E11/E10</f>
        <v>0.1</v>
      </c>
    </row>
    <row r="13" spans="1:5" x14ac:dyDescent="0.35">
      <c r="A13" s="1109" t="s">
        <v>679</v>
      </c>
      <c r="B13" s="151">
        <v>600</v>
      </c>
      <c r="D13" s="176" t="s">
        <v>284</v>
      </c>
      <c r="E13" s="599">
        <v>0.1</v>
      </c>
    </row>
    <row r="14" spans="1:5" x14ac:dyDescent="0.35">
      <c r="A14" s="1110" t="s">
        <v>680</v>
      </c>
      <c r="B14" s="154">
        <f>SUM(B7:B13)</f>
        <v>98968</v>
      </c>
      <c r="D14" s="191" t="s">
        <v>187</v>
      </c>
      <c r="E14" s="142">
        <f>ROUND(+B7*E13,0)</f>
        <v>7662</v>
      </c>
    </row>
    <row r="15" spans="1:5" x14ac:dyDescent="0.35">
      <c r="A15" s="196"/>
      <c r="B15" s="196"/>
    </row>
    <row r="16" spans="1:5" ht="14.5" customHeight="1" x14ac:dyDescent="0.35">
      <c r="A16" s="818" t="s">
        <v>681</v>
      </c>
      <c r="B16" s="772"/>
      <c r="D16" s="197" t="s">
        <v>190</v>
      </c>
      <c r="E16" s="134"/>
    </row>
    <row r="17" spans="1:5" ht="29" customHeight="1" x14ac:dyDescent="0.35">
      <c r="A17" s="1307" t="s">
        <v>683</v>
      </c>
      <c r="B17" s="1307"/>
      <c r="D17" s="176" t="s">
        <v>478</v>
      </c>
      <c r="E17" s="402">
        <v>1.4999999999999999E-2</v>
      </c>
    </row>
    <row r="18" spans="1:5" x14ac:dyDescent="0.35">
      <c r="A18" s="772" t="s">
        <v>682</v>
      </c>
      <c r="D18" s="176" t="s">
        <v>479</v>
      </c>
      <c r="E18" s="402">
        <v>7.0000000000000001E-3</v>
      </c>
    </row>
    <row r="19" spans="1:5" hidden="1" x14ac:dyDescent="0.35">
      <c r="D19" s="176" t="s">
        <v>163</v>
      </c>
      <c r="E19" s="402">
        <v>0</v>
      </c>
    </row>
    <row r="20" spans="1:5" x14ac:dyDescent="0.35">
      <c r="A20" s="132" t="s">
        <v>684</v>
      </c>
      <c r="D20" s="176" t="s">
        <v>480</v>
      </c>
      <c r="E20" s="403">
        <f>+E17+E18+E19</f>
        <v>2.1999999999999999E-2</v>
      </c>
    </row>
    <row r="21" spans="1:5" ht="14.5" customHeight="1" x14ac:dyDescent="0.35">
      <c r="A21" s="1306" t="s">
        <v>685</v>
      </c>
      <c r="B21" s="1306"/>
      <c r="D21" s="176" t="s">
        <v>188</v>
      </c>
      <c r="E21" s="135">
        <f>+B7</f>
        <v>76620</v>
      </c>
    </row>
    <row r="22" spans="1:5" ht="43.5" hidden="1" customHeight="1" x14ac:dyDescent="0.35">
      <c r="A22" s="1306"/>
      <c r="B22" s="1306"/>
      <c r="D22" s="212" t="s">
        <v>195</v>
      </c>
      <c r="E22" s="215">
        <v>0</v>
      </c>
    </row>
    <row r="23" spans="1:5" ht="29" hidden="1" customHeight="1" x14ac:dyDescent="0.35">
      <c r="A23" s="1306"/>
      <c r="B23" s="1306"/>
      <c r="D23" s="212" t="s">
        <v>194</v>
      </c>
      <c r="E23" s="135"/>
    </row>
    <row r="24" spans="1:5" ht="14.5" hidden="1" customHeight="1" x14ac:dyDescent="0.35">
      <c r="A24" s="1306"/>
      <c r="B24" s="1306"/>
      <c r="D24" s="146" t="s">
        <v>193</v>
      </c>
      <c r="E24" s="135">
        <f>SUM(E21:E23)</f>
        <v>76620</v>
      </c>
    </row>
    <row r="25" spans="1:5" x14ac:dyDescent="0.35">
      <c r="A25" s="1306"/>
      <c r="B25" s="1306"/>
      <c r="D25" s="152" t="s">
        <v>192</v>
      </c>
      <c r="E25" s="142">
        <f>ROUND(+E24*E20,0)</f>
        <v>1686</v>
      </c>
    </row>
    <row r="26" spans="1:5" x14ac:dyDescent="0.35">
      <c r="A26" s="1306"/>
      <c r="B26" s="1306"/>
    </row>
    <row r="27" spans="1:5" x14ac:dyDescent="0.35">
      <c r="A27" s="132" t="s">
        <v>686</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32" customWidth="1"/>
    <col min="2" max="2" width="38.453125" style="132" customWidth="1"/>
    <col min="3" max="3" width="13.90625" style="196" hidden="1" customWidth="1"/>
    <col min="4" max="5" width="13.90625" style="132" hidden="1" customWidth="1"/>
    <col min="6" max="6" width="8.7265625" style="132" hidden="1" customWidth="1"/>
    <col min="7" max="7" width="9.81640625" style="132" hidden="1" customWidth="1"/>
    <col min="8" max="8" width="11.90625" style="132" hidden="1" customWidth="1"/>
    <col min="9" max="14" width="13.90625" style="132" customWidth="1"/>
    <col min="15" max="15" width="10.453125" style="132" bestFit="1" customWidth="1"/>
    <col min="16" max="16" width="11.453125" style="132" customWidth="1"/>
    <col min="17" max="17" width="15.1796875" style="132" customWidth="1"/>
    <col min="18" max="18" width="8.7265625" style="132"/>
    <col min="19" max="30" width="13.90625" style="132" hidden="1" customWidth="1"/>
    <col min="31" max="16384" width="8.7265625" style="132"/>
  </cols>
  <sheetData>
    <row r="1" spans="1:30" ht="21.5" thickBot="1" x14ac:dyDescent="0.4">
      <c r="A1" s="1166" t="s">
        <v>317</v>
      </c>
      <c r="B1" s="1166"/>
      <c r="C1" s="1166"/>
      <c r="D1" s="1166"/>
      <c r="E1" s="1166"/>
      <c r="F1" s="1166"/>
      <c r="G1" s="1166"/>
      <c r="H1" s="1166"/>
      <c r="I1" s="1166"/>
      <c r="J1" s="1166"/>
      <c r="K1" s="1166"/>
      <c r="L1" s="1166"/>
      <c r="M1" s="1166"/>
      <c r="N1" s="1166"/>
      <c r="O1" s="1166"/>
      <c r="P1" s="1166"/>
      <c r="Q1" s="1166"/>
      <c r="R1" s="139"/>
      <c r="S1" s="860">
        <v>7.0000000000000007E-2</v>
      </c>
      <c r="V1" s="860">
        <v>0.08</v>
      </c>
      <c r="Y1" s="860">
        <v>0.09</v>
      </c>
      <c r="AB1" s="860">
        <v>0.1</v>
      </c>
    </row>
    <row r="2" spans="1:30" s="774" customFormat="1" ht="10" customHeight="1" thickBot="1" x14ac:dyDescent="0.4">
      <c r="B2" s="775"/>
      <c r="C2" s="776"/>
      <c r="D2" s="776"/>
      <c r="E2" s="777"/>
      <c r="I2" s="776"/>
      <c r="J2" s="776"/>
      <c r="K2" s="776"/>
      <c r="L2" s="776"/>
      <c r="M2" s="776"/>
      <c r="N2" s="776"/>
      <c r="R2" s="859"/>
      <c r="S2" s="1308" t="str">
        <f>"2023 Estimate at "&amp;S1*100&amp;"%"</f>
        <v>2023 Estimate at 7%</v>
      </c>
      <c r="T2" s="1309"/>
      <c r="U2" s="1310"/>
      <c r="V2" s="1308" t="str">
        <f>"2023 Estimate at "&amp;V1*100&amp;"%"</f>
        <v>2023 Estimate at 8%</v>
      </c>
      <c r="W2" s="1309"/>
      <c r="X2" s="1310"/>
      <c r="Y2" s="1308" t="str">
        <f>"2023 Estimate at "&amp;Y1*100&amp;"%"</f>
        <v>2023 Estimate at 9%</v>
      </c>
      <c r="Z2" s="1309"/>
      <c r="AA2" s="1310"/>
      <c r="AB2" s="1308" t="str">
        <f>"2023 Estimate at "&amp;AB1*100&amp;"%"</f>
        <v>2023 Estimate at 10%</v>
      </c>
      <c r="AC2" s="1309"/>
      <c r="AD2" s="1310"/>
    </row>
    <row r="3" spans="1:30" ht="37.5" customHeight="1" x14ac:dyDescent="0.35">
      <c r="C3" s="411" t="s">
        <v>311</v>
      </c>
      <c r="D3" s="389" t="s">
        <v>263</v>
      </c>
      <c r="E3" s="595" t="s">
        <v>424</v>
      </c>
      <c r="G3" s="754"/>
      <c r="H3" s="755"/>
      <c r="I3" s="1339" t="s">
        <v>423</v>
      </c>
      <c r="J3" s="1341" t="s">
        <v>628</v>
      </c>
      <c r="K3" s="1341" t="s">
        <v>629</v>
      </c>
      <c r="L3" s="1314" t="s">
        <v>650</v>
      </c>
      <c r="M3" s="1343" t="s">
        <v>607</v>
      </c>
      <c r="N3" s="1345" t="s">
        <v>330</v>
      </c>
      <c r="O3" s="1322" t="str">
        <f>"To Buy Back one week of vacation is $"&amp;ROUND(+N12/52,0)&amp;" per week"</f>
        <v>To Buy Back one week of vacation is $1369 per week</v>
      </c>
      <c r="P3" s="1323"/>
      <c r="Q3" s="1323"/>
      <c r="S3" s="858" t="s">
        <v>81</v>
      </c>
      <c r="T3" s="858" t="str">
        <f>"Full Year with buy-back"</f>
        <v>Full Year with buy-back</v>
      </c>
      <c r="U3" s="858" t="str">
        <f>"1/2 Year with buy-back"</f>
        <v>1/2 Year with buy-back</v>
      </c>
      <c r="V3" s="862" t="s">
        <v>81</v>
      </c>
      <c r="W3" s="862" t="str">
        <f>"Full Year with buy-back"</f>
        <v>Full Year with buy-back</v>
      </c>
      <c r="X3" s="862" t="str">
        <f>"1/2 Year with buy-back"</f>
        <v>1/2 Year with buy-back</v>
      </c>
      <c r="Y3" s="858" t="s">
        <v>81</v>
      </c>
      <c r="Z3" s="858" t="str">
        <f>"Full Year with buy-back"</f>
        <v>Full Year with buy-back</v>
      </c>
      <c r="AA3" s="858" t="str">
        <f>"1/2 Year with buy-back"</f>
        <v>1/2 Year with buy-back</v>
      </c>
      <c r="AB3" s="862" t="s">
        <v>81</v>
      </c>
      <c r="AC3" s="862" t="str">
        <f>"Full Year with buy-back"</f>
        <v>Full Year with buy-back</v>
      </c>
      <c r="AD3" s="862" t="str">
        <f>"1/2 Year with buy-back"</f>
        <v>1/2 Year with buy-back</v>
      </c>
    </row>
    <row r="4" spans="1:30" ht="15" customHeight="1" x14ac:dyDescent="0.35">
      <c r="C4" s="411"/>
      <c r="D4" s="389"/>
      <c r="E4" s="990"/>
      <c r="G4" s="754"/>
      <c r="H4" s="755"/>
      <c r="I4" s="1340"/>
      <c r="J4" s="1342"/>
      <c r="K4" s="1342"/>
      <c r="L4" s="1315"/>
      <c r="M4" s="1344"/>
      <c r="N4" s="1346"/>
      <c r="O4" s="1337" t="s">
        <v>644</v>
      </c>
      <c r="P4" s="1338"/>
      <c r="Q4" s="1338"/>
      <c r="S4" s="858"/>
      <c r="T4" s="858"/>
      <c r="U4" s="858"/>
      <c r="V4" s="862"/>
      <c r="W4" s="862"/>
      <c r="X4" s="862"/>
      <c r="Y4" s="858"/>
      <c r="Z4" s="858"/>
      <c r="AA4" s="858"/>
      <c r="AB4" s="862"/>
      <c r="AC4" s="862"/>
      <c r="AD4" s="862"/>
    </row>
    <row r="5" spans="1:30" ht="14.5" customHeight="1" x14ac:dyDescent="0.35">
      <c r="A5" s="1316" t="s">
        <v>314</v>
      </c>
      <c r="B5" s="418" t="s">
        <v>37</v>
      </c>
      <c r="C5" s="412">
        <f>+C7-C6</f>
        <v>40802</v>
      </c>
      <c r="D5" s="412">
        <f>+D7-D6</f>
        <v>40802</v>
      </c>
      <c r="E5" s="166">
        <f>+E7-E6</f>
        <v>42687</v>
      </c>
      <c r="F5" s="1324" t="s">
        <v>425</v>
      </c>
      <c r="G5" s="1325"/>
      <c r="H5" s="1326"/>
      <c r="I5" s="412">
        <f>+I12-I6</f>
        <v>44553</v>
      </c>
      <c r="J5" s="412">
        <f>+I5/12*2</f>
        <v>7425.5</v>
      </c>
      <c r="K5" s="412">
        <f>ROUND((+I5/12*10)+J5,0)</f>
        <v>44553</v>
      </c>
      <c r="L5" s="1036">
        <f>+J5*6</f>
        <v>44553</v>
      </c>
      <c r="M5" s="388">
        <f>+N5-(1369*2)</f>
        <v>48437</v>
      </c>
      <c r="N5" s="804">
        <f>+N7-N6</f>
        <v>51175</v>
      </c>
      <c r="O5" s="1337"/>
      <c r="P5" s="1338"/>
      <c r="Q5" s="1338"/>
      <c r="S5" s="388">
        <f>+S7-S6</f>
        <v>56157</v>
      </c>
      <c r="T5" s="388"/>
      <c r="U5" s="388"/>
      <c r="V5" s="412">
        <f>+V7-V6</f>
        <v>76869</v>
      </c>
      <c r="W5" s="412"/>
      <c r="X5" s="412"/>
      <c r="Y5" s="388">
        <f>+Y7-Y6</f>
        <v>57581</v>
      </c>
      <c r="Z5" s="388"/>
      <c r="AA5" s="388"/>
      <c r="AB5" s="412">
        <f>+AB7-AB6</f>
        <v>78293</v>
      </c>
      <c r="AC5" s="412"/>
      <c r="AD5" s="412"/>
    </row>
    <row r="6" spans="1:30" ht="15" thickBot="1" x14ac:dyDescent="0.4">
      <c r="A6" s="1317"/>
      <c r="B6" s="164" t="s">
        <v>156</v>
      </c>
      <c r="C6" s="171">
        <f>ROUND(+C7*0.3,0)</f>
        <v>17487</v>
      </c>
      <c r="D6" s="171">
        <f>ROUND(+D7*0.3,0)</f>
        <v>17487</v>
      </c>
      <c r="E6" s="415">
        <v>20000</v>
      </c>
      <c r="F6" s="1324"/>
      <c r="G6" s="1325"/>
      <c r="H6" s="1326"/>
      <c r="I6" s="415">
        <v>20000</v>
      </c>
      <c r="J6" s="863">
        <f>+I6/12*2</f>
        <v>3333.3333333333335</v>
      </c>
      <c r="K6" s="415">
        <f>ROUND((+I6/12*10)+J6,0)</f>
        <v>20000</v>
      </c>
      <c r="L6" s="1037">
        <f>+J6*6</f>
        <v>20000</v>
      </c>
      <c r="M6" s="400">
        <v>20000</v>
      </c>
      <c r="N6" s="805">
        <v>20000</v>
      </c>
      <c r="O6" s="1337"/>
      <c r="P6" s="1338"/>
      <c r="Q6" s="1338"/>
      <c r="S6" s="857">
        <f>+I6</f>
        <v>20000</v>
      </c>
      <c r="T6" s="400"/>
      <c r="U6" s="400"/>
      <c r="V6" s="863">
        <f>+P6</f>
        <v>0</v>
      </c>
      <c r="W6" s="415"/>
      <c r="X6" s="415"/>
      <c r="Y6" s="857">
        <f>+S6</f>
        <v>20000</v>
      </c>
      <c r="Z6" s="400"/>
      <c r="AA6" s="400"/>
      <c r="AB6" s="863">
        <f>+V6</f>
        <v>0</v>
      </c>
      <c r="AC6" s="415"/>
      <c r="AD6" s="415"/>
    </row>
    <row r="7" spans="1:30" ht="14.5" hidden="1" customHeight="1" x14ac:dyDescent="0.35">
      <c r="A7" s="1317"/>
      <c r="B7" s="164" t="s">
        <v>157</v>
      </c>
      <c r="C7" s="413">
        <v>58289</v>
      </c>
      <c r="D7" s="413">
        <v>58289</v>
      </c>
      <c r="E7" s="175">
        <f>+ROUND((62066*1.01),0)</f>
        <v>62687</v>
      </c>
      <c r="F7" s="1324"/>
      <c r="G7" s="1325"/>
      <c r="H7" s="1326"/>
      <c r="I7" s="995">
        <f>+I5+I6</f>
        <v>64553</v>
      </c>
      <c r="J7" s="995">
        <f>+J5+J6</f>
        <v>10758.833333333334</v>
      </c>
      <c r="K7" s="995">
        <f>+K5+K6</f>
        <v>64553</v>
      </c>
      <c r="L7" s="1038"/>
      <c r="M7" s="886">
        <f>+M5+M6</f>
        <v>68437</v>
      </c>
      <c r="N7" s="591">
        <v>71175</v>
      </c>
      <c r="O7" s="1337"/>
      <c r="P7" s="1338"/>
      <c r="Q7" s="1338"/>
      <c r="S7" s="861">
        <f>ROUND(+$N7*(1+S1),0)</f>
        <v>76157</v>
      </c>
      <c r="T7" s="387"/>
      <c r="U7" s="387"/>
      <c r="V7" s="864">
        <f>ROUND(+$N7*(1+V1),0)</f>
        <v>76869</v>
      </c>
      <c r="W7" s="413"/>
      <c r="X7" s="413"/>
      <c r="Y7" s="861">
        <f>ROUND(+$N7*(1+Y1),0)</f>
        <v>77581</v>
      </c>
      <c r="Z7" s="387"/>
      <c r="AA7" s="387"/>
      <c r="AB7" s="864">
        <f>ROUND(+$N7*(1+AB1),0)</f>
        <v>78293</v>
      </c>
      <c r="AC7" s="413"/>
      <c r="AD7" s="413"/>
    </row>
    <row r="8" spans="1:30" ht="5.5" hidden="1" customHeight="1" x14ac:dyDescent="0.35">
      <c r="A8" s="1317"/>
      <c r="B8" s="176"/>
      <c r="C8" s="169"/>
      <c r="D8" s="169"/>
      <c r="E8" s="169"/>
      <c r="F8" s="1324"/>
      <c r="G8" s="1325"/>
      <c r="H8" s="1326"/>
      <c r="I8" s="169"/>
      <c r="J8" s="169"/>
      <c r="K8" s="169"/>
      <c r="L8" s="1039"/>
      <c r="M8" s="136"/>
      <c r="N8" s="553"/>
      <c r="O8" s="798"/>
      <c r="P8" s="799"/>
      <c r="Q8" s="799"/>
      <c r="R8" s="177"/>
      <c r="S8" s="136"/>
      <c r="T8" s="136"/>
      <c r="U8" s="136"/>
      <c r="V8" s="169"/>
      <c r="W8" s="169"/>
      <c r="X8" s="169"/>
      <c r="Y8" s="136"/>
      <c r="Z8" s="136"/>
      <c r="AA8" s="136"/>
      <c r="AB8" s="169"/>
      <c r="AC8" s="169"/>
      <c r="AD8" s="169"/>
    </row>
    <row r="9" spans="1:30" ht="14.5" hidden="1" customHeight="1" x14ac:dyDescent="0.35">
      <c r="A9" s="1317"/>
      <c r="B9" s="164" t="s">
        <v>167</v>
      </c>
      <c r="C9" s="414">
        <v>1</v>
      </c>
      <c r="D9" s="414">
        <v>0.5</v>
      </c>
      <c r="E9" s="414">
        <v>1</v>
      </c>
      <c r="F9" s="1324"/>
      <c r="G9" s="1325"/>
      <c r="H9" s="1326"/>
      <c r="I9" s="414">
        <v>1</v>
      </c>
      <c r="J9" s="414">
        <v>1</v>
      </c>
      <c r="K9" s="414">
        <v>1</v>
      </c>
      <c r="L9" s="1040"/>
      <c r="M9" s="386">
        <v>1</v>
      </c>
      <c r="N9" s="806">
        <v>1</v>
      </c>
      <c r="O9" s="798"/>
      <c r="P9" s="799"/>
      <c r="Q9" s="799"/>
      <c r="R9" s="177"/>
      <c r="S9" s="386">
        <v>1</v>
      </c>
      <c r="T9" s="386">
        <v>1</v>
      </c>
      <c r="U9" s="386">
        <v>0.5</v>
      </c>
      <c r="V9" s="414">
        <v>1</v>
      </c>
      <c r="W9" s="414">
        <v>1</v>
      </c>
      <c r="X9" s="414">
        <v>0.5</v>
      </c>
      <c r="Y9" s="386">
        <v>1</v>
      </c>
      <c r="Z9" s="386">
        <v>1</v>
      </c>
      <c r="AA9" s="386">
        <v>0.5</v>
      </c>
      <c r="AB9" s="414">
        <v>1</v>
      </c>
      <c r="AC9" s="414">
        <v>1</v>
      </c>
      <c r="AD9" s="414">
        <v>0.5</v>
      </c>
    </row>
    <row r="10" spans="1:30" ht="14.5" hidden="1" customHeight="1" x14ac:dyDescent="0.35">
      <c r="A10" s="1317"/>
      <c r="B10" s="176"/>
      <c r="C10" s="169"/>
      <c r="D10" s="169"/>
      <c r="E10" s="169"/>
      <c r="F10" s="1324"/>
      <c r="G10" s="1325"/>
      <c r="H10" s="1326"/>
      <c r="I10" s="169"/>
      <c r="J10" s="169"/>
      <c r="K10" s="169"/>
      <c r="L10" s="1039"/>
      <c r="M10" s="136"/>
      <c r="N10" s="553"/>
      <c r="O10" s="798"/>
      <c r="P10" s="799"/>
      <c r="Q10" s="799"/>
      <c r="R10" s="177"/>
      <c r="S10" s="136"/>
      <c r="T10" s="136"/>
      <c r="U10" s="136"/>
      <c r="V10" s="166"/>
      <c r="W10" s="169"/>
      <c r="X10" s="169"/>
      <c r="Y10" s="136"/>
      <c r="Z10" s="136"/>
      <c r="AA10" s="136"/>
      <c r="AB10" s="169"/>
      <c r="AC10" s="169"/>
      <c r="AD10" s="169"/>
    </row>
    <row r="11" spans="1:30" ht="14.5" hidden="1" customHeight="1" x14ac:dyDescent="0.35">
      <c r="A11" s="1317"/>
      <c r="B11" s="164"/>
      <c r="C11" s="398">
        <v>0</v>
      </c>
      <c r="D11" s="398">
        <v>0</v>
      </c>
      <c r="E11" s="182"/>
      <c r="F11" s="1324"/>
      <c r="G11" s="1325"/>
      <c r="H11" s="1326"/>
      <c r="I11" s="398"/>
      <c r="J11" s="398"/>
      <c r="K11" s="398"/>
      <c r="L11" s="1041"/>
      <c r="M11" s="402"/>
      <c r="N11" s="585"/>
      <c r="O11" s="798"/>
      <c r="P11" s="799"/>
      <c r="Q11" s="799"/>
      <c r="R11" s="177"/>
      <c r="S11" s="402"/>
      <c r="T11" s="402"/>
      <c r="U11" s="402"/>
      <c r="V11" s="398"/>
      <c r="W11" s="398"/>
      <c r="X11" s="398"/>
      <c r="Y11" s="402"/>
      <c r="Z11" s="402"/>
      <c r="AA11" s="402"/>
      <c r="AB11" s="398"/>
      <c r="AC11" s="398"/>
      <c r="AD11" s="398"/>
    </row>
    <row r="12" spans="1:30" x14ac:dyDescent="0.35">
      <c r="A12" s="1317"/>
      <c r="B12" s="183" t="s">
        <v>178</v>
      </c>
      <c r="C12" s="390">
        <f>ROUND(+C7*(1+C11)*C9,0)</f>
        <v>58289</v>
      </c>
      <c r="D12" s="390">
        <f>ROUND(+D7*(1+D11)*D9,0)</f>
        <v>29145</v>
      </c>
      <c r="E12" s="533">
        <f>ROUND(+E7*(1+E11)*E9,0)</f>
        <v>62687</v>
      </c>
      <c r="F12" s="1324"/>
      <c r="G12" s="1325"/>
      <c r="H12" s="1326"/>
      <c r="I12" s="187">
        <f>66953-2400</f>
        <v>64553</v>
      </c>
      <c r="J12" s="533">
        <f>+J7</f>
        <v>10758.833333333334</v>
      </c>
      <c r="K12" s="533">
        <f>+K7</f>
        <v>64553</v>
      </c>
      <c r="L12" s="1042">
        <f>+L5+L6</f>
        <v>64553</v>
      </c>
      <c r="M12" s="140">
        <f>+M5+M6</f>
        <v>68437</v>
      </c>
      <c r="N12" s="560">
        <f>ROUND((+N7*(1+N11)*N9),0)</f>
        <v>71175</v>
      </c>
      <c r="O12" s="798"/>
      <c r="P12" s="1027"/>
      <c r="Q12" s="799"/>
      <c r="R12" s="118"/>
      <c r="S12" s="140">
        <f>ROUND((+S7*S9),0)</f>
        <v>76157</v>
      </c>
      <c r="T12" s="140">
        <f>ROUND((+S7*T9)-((S7/52)*2),0)</f>
        <v>73228</v>
      </c>
      <c r="U12" s="140">
        <f>+T12*U9</f>
        <v>36614</v>
      </c>
      <c r="V12" s="390">
        <f>ROUND((+V7*V9),0)</f>
        <v>76869</v>
      </c>
      <c r="W12" s="390">
        <f>ROUND((+V7*W9)-((V7/52)*2),0)</f>
        <v>73913</v>
      </c>
      <c r="X12" s="390">
        <f>+W12*X9</f>
        <v>36956.5</v>
      </c>
      <c r="Y12" s="140">
        <f>ROUND((+Y7*Y9),0)</f>
        <v>77581</v>
      </c>
      <c r="Z12" s="140">
        <f>ROUND((+Y7*Z9)-((Y7/52)*2),0)</f>
        <v>74597</v>
      </c>
      <c r="AA12" s="140">
        <f>+Z12*AA9</f>
        <v>37298.5</v>
      </c>
      <c r="AB12" s="390">
        <f>ROUND((+AB7*AB9),0)</f>
        <v>78293</v>
      </c>
      <c r="AC12" s="390">
        <f>ROUND((+AB7*AC9)-((AB7/52)*2),0)</f>
        <v>75282</v>
      </c>
      <c r="AD12" s="390">
        <f>+AC12*AD9</f>
        <v>37641</v>
      </c>
    </row>
    <row r="13" spans="1:30" ht="7.5" customHeight="1" x14ac:dyDescent="0.35">
      <c r="A13" s="1317"/>
      <c r="B13" s="1327" t="s">
        <v>313</v>
      </c>
      <c r="C13" s="169"/>
      <c r="D13" s="169"/>
      <c r="E13" s="169"/>
      <c r="I13" s="169"/>
      <c r="J13" s="169"/>
      <c r="K13" s="169"/>
      <c r="L13" s="1039"/>
      <c r="M13" s="136"/>
      <c r="N13" s="553"/>
      <c r="P13" s="177"/>
      <c r="Q13" s="177"/>
      <c r="R13" s="118"/>
      <c r="S13" s="136"/>
      <c r="T13" s="136"/>
      <c r="U13" s="136"/>
      <c r="V13" s="169"/>
      <c r="W13" s="169"/>
      <c r="X13" s="169"/>
      <c r="Y13" s="136"/>
      <c r="Z13" s="136"/>
      <c r="AA13" s="136"/>
      <c r="AB13" s="169"/>
      <c r="AC13" s="169"/>
      <c r="AD13" s="169"/>
    </row>
    <row r="14" spans="1:30" ht="17" customHeight="1" x14ac:dyDescent="0.35">
      <c r="A14" s="1317"/>
      <c r="B14" s="1327"/>
      <c r="C14" s="188">
        <f>+C28</f>
        <v>0</v>
      </c>
      <c r="D14" s="188">
        <f>+D28</f>
        <v>0</v>
      </c>
      <c r="E14" s="188">
        <f>+E28</f>
        <v>2400</v>
      </c>
      <c r="I14" s="188">
        <f>+I28</f>
        <v>2400</v>
      </c>
      <c r="J14" s="395">
        <v>0</v>
      </c>
      <c r="K14" s="188">
        <f>ROUND((I14/12*10)+J14,0)</f>
        <v>2000</v>
      </c>
      <c r="L14" s="1043">
        <v>0</v>
      </c>
      <c r="M14" s="131">
        <f>+M28</f>
        <v>0</v>
      </c>
      <c r="N14" s="561">
        <f>+N28</f>
        <v>0</v>
      </c>
      <c r="O14" s="149"/>
      <c r="P14" s="1033"/>
      <c r="Q14" s="852"/>
      <c r="R14" s="119"/>
      <c r="S14" s="131">
        <f t="shared" ref="S14:AD14" si="0">+S28</f>
        <v>2400</v>
      </c>
      <c r="T14" s="131">
        <f t="shared" si="0"/>
        <v>2400</v>
      </c>
      <c r="U14" s="131">
        <f t="shared" si="0"/>
        <v>1200</v>
      </c>
      <c r="V14" s="188">
        <f t="shared" si="0"/>
        <v>2400</v>
      </c>
      <c r="W14" s="188">
        <f t="shared" si="0"/>
        <v>2400</v>
      </c>
      <c r="X14" s="188">
        <f t="shared" si="0"/>
        <v>1200</v>
      </c>
      <c r="Y14" s="131">
        <f t="shared" si="0"/>
        <v>2400</v>
      </c>
      <c r="Z14" s="131">
        <f t="shared" si="0"/>
        <v>2400</v>
      </c>
      <c r="AA14" s="131">
        <f t="shared" si="0"/>
        <v>1200</v>
      </c>
      <c r="AB14" s="188">
        <f t="shared" si="0"/>
        <v>2400</v>
      </c>
      <c r="AC14" s="188">
        <f t="shared" si="0"/>
        <v>2400</v>
      </c>
      <c r="AD14" s="188">
        <f t="shared" si="0"/>
        <v>1200</v>
      </c>
    </row>
    <row r="15" spans="1:30" ht="8" customHeight="1" thickBot="1" x14ac:dyDescent="0.4">
      <c r="A15" s="1317"/>
      <c r="B15" s="1327"/>
      <c r="C15" s="169"/>
      <c r="D15" s="169"/>
      <c r="E15" s="169"/>
      <c r="I15" s="169"/>
      <c r="J15" s="169"/>
      <c r="K15" s="169"/>
      <c r="L15" s="1039"/>
      <c r="M15" s="136"/>
      <c r="N15" s="553"/>
      <c r="O15" s="853"/>
      <c r="P15" s="853"/>
      <c r="Q15" s="853"/>
      <c r="R15" s="532"/>
      <c r="S15" s="136"/>
      <c r="T15" s="136"/>
      <c r="U15" s="136"/>
      <c r="V15" s="169"/>
      <c r="W15" s="169"/>
      <c r="X15" s="169"/>
      <c r="Y15" s="136"/>
      <c r="Z15" s="136"/>
      <c r="AA15" s="136"/>
      <c r="AB15" s="169"/>
      <c r="AC15" s="169"/>
      <c r="AD15" s="169"/>
    </row>
    <row r="16" spans="1:30" x14ac:dyDescent="0.35">
      <c r="A16" s="1317"/>
      <c r="B16" s="183" t="s">
        <v>178</v>
      </c>
      <c r="C16" s="390">
        <f>+C12+C14</f>
        <v>58289</v>
      </c>
      <c r="D16" s="390">
        <f>+D12+D14</f>
        <v>29145</v>
      </c>
      <c r="E16" s="533">
        <f>+E12+E14</f>
        <v>65087</v>
      </c>
      <c r="I16" s="390">
        <f t="shared" ref="I16:N16" si="1">+I12+I14</f>
        <v>66953</v>
      </c>
      <c r="J16" s="390">
        <f t="shared" si="1"/>
        <v>10758.833333333334</v>
      </c>
      <c r="K16" s="390">
        <f t="shared" si="1"/>
        <v>66553</v>
      </c>
      <c r="L16" s="1044">
        <f t="shared" si="1"/>
        <v>64553</v>
      </c>
      <c r="M16" s="140">
        <f t="shared" si="1"/>
        <v>68437</v>
      </c>
      <c r="N16" s="845">
        <f t="shared" si="1"/>
        <v>71175</v>
      </c>
      <c r="O16" s="1328" t="s">
        <v>645</v>
      </c>
      <c r="P16" s="1329"/>
      <c r="Q16" s="1330"/>
      <c r="R16" s="200"/>
      <c r="S16" s="140">
        <f t="shared" ref="S16:AD16" si="2">+S12+S14</f>
        <v>78557</v>
      </c>
      <c r="T16" s="140">
        <f t="shared" si="2"/>
        <v>75628</v>
      </c>
      <c r="U16" s="140">
        <f t="shared" si="2"/>
        <v>37814</v>
      </c>
      <c r="V16" s="390">
        <f t="shared" si="2"/>
        <v>79269</v>
      </c>
      <c r="W16" s="390">
        <f t="shared" si="2"/>
        <v>76313</v>
      </c>
      <c r="X16" s="390">
        <f t="shared" si="2"/>
        <v>38156.5</v>
      </c>
      <c r="Y16" s="140">
        <f t="shared" si="2"/>
        <v>79981</v>
      </c>
      <c r="Z16" s="140">
        <f t="shared" si="2"/>
        <v>76997</v>
      </c>
      <c r="AA16" s="140">
        <f t="shared" si="2"/>
        <v>38498.5</v>
      </c>
      <c r="AB16" s="390">
        <f t="shared" si="2"/>
        <v>80693</v>
      </c>
      <c r="AC16" s="390">
        <f t="shared" si="2"/>
        <v>77682</v>
      </c>
      <c r="AD16" s="390">
        <f t="shared" si="2"/>
        <v>38841</v>
      </c>
    </row>
    <row r="17" spans="1:30" ht="6.5" customHeight="1" x14ac:dyDescent="0.35">
      <c r="A17" s="1317"/>
      <c r="B17" s="176"/>
      <c r="C17" s="169"/>
      <c r="D17" s="169"/>
      <c r="E17" s="169"/>
      <c r="I17" s="169"/>
      <c r="J17" s="169"/>
      <c r="K17" s="169"/>
      <c r="L17" s="1039"/>
      <c r="M17" s="136"/>
      <c r="N17" s="844"/>
      <c r="O17" s="1331"/>
      <c r="P17" s="1332"/>
      <c r="Q17" s="1333"/>
      <c r="R17" s="177"/>
      <c r="S17" s="136"/>
      <c r="T17" s="136"/>
      <c r="U17" s="136"/>
      <c r="V17" s="169"/>
      <c r="W17" s="169"/>
      <c r="X17" s="169"/>
      <c r="Y17" s="136"/>
      <c r="Z17" s="136"/>
      <c r="AA17" s="136"/>
      <c r="AB17" s="169"/>
      <c r="AC17" s="169"/>
      <c r="AD17" s="169"/>
    </row>
    <row r="18" spans="1:30" x14ac:dyDescent="0.35">
      <c r="A18" s="1317"/>
      <c r="B18" s="176" t="s">
        <v>482</v>
      </c>
      <c r="C18" s="190">
        <v>7.6499999999999999E-2</v>
      </c>
      <c r="D18" s="190">
        <v>7.6499999999999999E-2</v>
      </c>
      <c r="E18" s="424">
        <v>7.6499999999999999E-2</v>
      </c>
      <c r="F18" s="1319" t="s">
        <v>316</v>
      </c>
      <c r="G18" s="1320"/>
      <c r="H18" s="1321"/>
      <c r="I18" s="424">
        <v>7.6499999999999999E-2</v>
      </c>
      <c r="J18" s="424">
        <v>7.6499999999999999E-2</v>
      </c>
      <c r="K18" s="424">
        <v>7.6499999999999999E-2</v>
      </c>
      <c r="L18" s="1045">
        <v>7.6499999999999999E-2</v>
      </c>
      <c r="M18" s="601">
        <v>7.6499999999999999E-2</v>
      </c>
      <c r="N18" s="846">
        <v>7.6499999999999999E-2</v>
      </c>
      <c r="O18" s="1331"/>
      <c r="P18" s="1332"/>
      <c r="Q18" s="1333"/>
      <c r="R18" s="118"/>
      <c r="S18" s="601">
        <v>7.6499999999999999E-2</v>
      </c>
      <c r="T18" s="601">
        <v>7.6499999999999999E-2</v>
      </c>
      <c r="U18" s="601">
        <v>7.6499999999999999E-2</v>
      </c>
      <c r="V18" s="424">
        <v>7.6499999999999999E-2</v>
      </c>
      <c r="W18" s="424">
        <v>7.6499999999999999E-2</v>
      </c>
      <c r="X18" s="424">
        <v>7.6499999999999999E-2</v>
      </c>
      <c r="Y18" s="601">
        <v>7.6499999999999999E-2</v>
      </c>
      <c r="Z18" s="601">
        <v>7.6499999999999999E-2</v>
      </c>
      <c r="AA18" s="601">
        <v>7.6499999999999999E-2</v>
      </c>
      <c r="AB18" s="424">
        <v>7.6499999999999999E-2</v>
      </c>
      <c r="AC18" s="424">
        <v>7.6499999999999999E-2</v>
      </c>
      <c r="AD18" s="424">
        <v>7.6499999999999999E-2</v>
      </c>
    </row>
    <row r="19" spans="1:30" x14ac:dyDescent="0.35">
      <c r="A19" s="1317"/>
      <c r="B19" s="176" t="s">
        <v>272</v>
      </c>
      <c r="C19" s="188">
        <f>ROUND(+C16*C18,0)</f>
        <v>4459</v>
      </c>
      <c r="D19" s="188">
        <f>ROUND(+D16*D18,0)</f>
        <v>2230</v>
      </c>
      <c r="E19" s="188">
        <f>ROUND(+E16*E18,0)</f>
        <v>4979</v>
      </c>
      <c r="F19" s="139"/>
      <c r="I19" s="188">
        <f t="shared" ref="I19:N19" si="3">ROUND(+I16*I18,0)</f>
        <v>5122</v>
      </c>
      <c r="J19" s="188">
        <f t="shared" si="3"/>
        <v>823</v>
      </c>
      <c r="K19" s="188">
        <f t="shared" si="3"/>
        <v>5091</v>
      </c>
      <c r="L19" s="1043">
        <f t="shared" si="3"/>
        <v>4938</v>
      </c>
      <c r="M19" s="131">
        <f t="shared" si="3"/>
        <v>5235</v>
      </c>
      <c r="N19" s="843">
        <f t="shared" si="3"/>
        <v>5445</v>
      </c>
      <c r="O19" s="1331"/>
      <c r="P19" s="1332"/>
      <c r="Q19" s="1333"/>
      <c r="R19" s="177"/>
      <c r="S19" s="131">
        <f t="shared" ref="S19:AD19" si="4">ROUND(+S16*S18,0)</f>
        <v>6010</v>
      </c>
      <c r="T19" s="131">
        <f t="shared" si="4"/>
        <v>5786</v>
      </c>
      <c r="U19" s="131">
        <f t="shared" si="4"/>
        <v>2893</v>
      </c>
      <c r="V19" s="188">
        <f t="shared" si="4"/>
        <v>6064</v>
      </c>
      <c r="W19" s="188">
        <f t="shared" si="4"/>
        <v>5838</v>
      </c>
      <c r="X19" s="188">
        <f t="shared" si="4"/>
        <v>2919</v>
      </c>
      <c r="Y19" s="131">
        <f t="shared" si="4"/>
        <v>6119</v>
      </c>
      <c r="Z19" s="131">
        <f t="shared" si="4"/>
        <v>5890</v>
      </c>
      <c r="AA19" s="131">
        <f t="shared" si="4"/>
        <v>2945</v>
      </c>
      <c r="AB19" s="188">
        <f t="shared" si="4"/>
        <v>6173</v>
      </c>
      <c r="AC19" s="188">
        <f t="shared" si="4"/>
        <v>5943</v>
      </c>
      <c r="AD19" s="188">
        <f t="shared" si="4"/>
        <v>2971</v>
      </c>
    </row>
    <row r="20" spans="1:30" ht="21" customHeight="1" thickBot="1" x14ac:dyDescent="0.4">
      <c r="A20" s="1318"/>
      <c r="B20" s="191" t="s">
        <v>180</v>
      </c>
      <c r="C20" s="195">
        <f>+C16+C19</f>
        <v>62748</v>
      </c>
      <c r="D20" s="195">
        <f>+D16+D19</f>
        <v>31375</v>
      </c>
      <c r="E20" s="195">
        <f>+E16+E19</f>
        <v>70066</v>
      </c>
      <c r="I20" s="195">
        <f t="shared" ref="I20:N20" si="5">+I16+I19</f>
        <v>72075</v>
      </c>
      <c r="J20" s="195">
        <f t="shared" si="5"/>
        <v>11581.833333333334</v>
      </c>
      <c r="K20" s="195">
        <f t="shared" si="5"/>
        <v>71644</v>
      </c>
      <c r="L20" s="1046">
        <f t="shared" si="5"/>
        <v>69491</v>
      </c>
      <c r="M20" s="142">
        <f t="shared" si="5"/>
        <v>73672</v>
      </c>
      <c r="N20" s="847">
        <f t="shared" si="5"/>
        <v>76620</v>
      </c>
      <c r="O20" s="1334"/>
      <c r="P20" s="1335"/>
      <c r="Q20" s="1336"/>
      <c r="R20" s="177"/>
      <c r="S20" s="142">
        <f t="shared" ref="S20:AD20" si="6">+S16+S19</f>
        <v>84567</v>
      </c>
      <c r="T20" s="142">
        <f t="shared" si="6"/>
        <v>81414</v>
      </c>
      <c r="U20" s="142">
        <f t="shared" si="6"/>
        <v>40707</v>
      </c>
      <c r="V20" s="195">
        <f t="shared" si="6"/>
        <v>85333</v>
      </c>
      <c r="W20" s="195">
        <f t="shared" si="6"/>
        <v>82151</v>
      </c>
      <c r="X20" s="195">
        <f t="shared" si="6"/>
        <v>41075.5</v>
      </c>
      <c r="Y20" s="142">
        <f t="shared" si="6"/>
        <v>86100</v>
      </c>
      <c r="Z20" s="142">
        <f t="shared" si="6"/>
        <v>82887</v>
      </c>
      <c r="AA20" s="142">
        <f t="shared" si="6"/>
        <v>41443.5</v>
      </c>
      <c r="AB20" s="195">
        <f t="shared" si="6"/>
        <v>86866</v>
      </c>
      <c r="AC20" s="195">
        <f t="shared" si="6"/>
        <v>83625</v>
      </c>
      <c r="AD20" s="195">
        <f t="shared" si="6"/>
        <v>41812</v>
      </c>
    </row>
    <row r="21" spans="1:30" ht="8.5" customHeight="1" x14ac:dyDescent="0.35">
      <c r="B21" s="196"/>
      <c r="D21" s="196"/>
      <c r="E21" s="196"/>
      <c r="I21" s="196"/>
      <c r="J21" s="196"/>
      <c r="K21" s="196"/>
      <c r="L21" s="196"/>
      <c r="M21" s="196"/>
      <c r="N21" s="196"/>
      <c r="O21" s="177"/>
      <c r="P21" s="177"/>
      <c r="Q21" s="177"/>
      <c r="R21" s="177"/>
      <c r="S21" s="196"/>
      <c r="T21" s="196"/>
      <c r="U21" s="196"/>
      <c r="V21" s="196"/>
      <c r="W21" s="887"/>
      <c r="X21" s="196"/>
      <c r="Y21" s="196"/>
      <c r="Z21" s="196"/>
      <c r="AA21" s="196"/>
      <c r="AB21" s="196"/>
      <c r="AC21" s="196"/>
      <c r="AD21" s="196"/>
    </row>
    <row r="22" spans="1:30" ht="14.5" hidden="1" customHeight="1" x14ac:dyDescent="0.35">
      <c r="B22" s="162" t="s">
        <v>181</v>
      </c>
      <c r="C22" s="537">
        <f>ROUND(22025*C9,0)</f>
        <v>22025</v>
      </c>
      <c r="D22" s="537">
        <f>ROUND(C22*D$9,0)</f>
        <v>11013</v>
      </c>
      <c r="E22" s="538">
        <v>6000</v>
      </c>
      <c r="F22" s="145"/>
      <c r="G22" s="145"/>
      <c r="H22" s="145"/>
      <c r="I22" s="538">
        <v>6000</v>
      </c>
      <c r="J22" s="538">
        <v>0</v>
      </c>
      <c r="K22" s="537">
        <f>ROUND((I22/12*10)+J22,0)</f>
        <v>5000</v>
      </c>
      <c r="L22" s="538">
        <v>0</v>
      </c>
      <c r="M22" s="750">
        <v>0</v>
      </c>
      <c r="N22" s="807">
        <v>0</v>
      </c>
      <c r="O22" s="177"/>
      <c r="P22" s="177"/>
      <c r="Q22" s="177"/>
      <c r="R22" s="177"/>
      <c r="S22" s="750">
        <v>6000</v>
      </c>
      <c r="T22" s="750">
        <v>6000</v>
      </c>
      <c r="U22" s="750">
        <v>3000</v>
      </c>
      <c r="V22" s="538">
        <v>6000</v>
      </c>
      <c r="W22" s="538">
        <v>6000</v>
      </c>
      <c r="X22" s="538">
        <v>3000</v>
      </c>
      <c r="Y22" s="750">
        <v>6000</v>
      </c>
      <c r="Z22" s="750">
        <v>6000</v>
      </c>
      <c r="AA22" s="750">
        <v>3000</v>
      </c>
      <c r="AB22" s="538">
        <v>6000</v>
      </c>
      <c r="AC22" s="538">
        <v>6000</v>
      </c>
      <c r="AD22" s="538">
        <v>3000</v>
      </c>
    </row>
    <row r="23" spans="1:30" ht="14.5" hidden="1" customHeight="1" x14ac:dyDescent="0.35">
      <c r="A23" s="1032"/>
      <c r="B23" s="176" t="s">
        <v>203</v>
      </c>
      <c r="C23" s="169"/>
      <c r="D23" s="126"/>
      <c r="E23" s="395">
        <v>0</v>
      </c>
      <c r="F23" s="294"/>
      <c r="G23" s="294"/>
      <c r="H23" s="294"/>
      <c r="I23" s="395">
        <v>0</v>
      </c>
      <c r="J23" s="395">
        <v>0</v>
      </c>
      <c r="K23" s="188">
        <f>ROUND((I23/12*10)+J23,0)</f>
        <v>0</v>
      </c>
      <c r="L23" s="395">
        <v>0</v>
      </c>
      <c r="M23" s="600">
        <v>0</v>
      </c>
      <c r="N23" s="565">
        <v>0</v>
      </c>
      <c r="O23" s="177"/>
      <c r="P23" s="177"/>
      <c r="Q23" s="177"/>
      <c r="R23" s="177"/>
      <c r="S23" s="600">
        <v>0</v>
      </c>
      <c r="T23" s="600">
        <v>0</v>
      </c>
      <c r="U23" s="600">
        <v>0</v>
      </c>
      <c r="V23" s="395">
        <v>0</v>
      </c>
      <c r="W23" s="395">
        <v>0</v>
      </c>
      <c r="X23" s="395">
        <v>0</v>
      </c>
      <c r="Y23" s="600">
        <v>0</v>
      </c>
      <c r="Z23" s="600">
        <v>0</v>
      </c>
      <c r="AA23" s="600">
        <v>0</v>
      </c>
      <c r="AB23" s="395">
        <v>0</v>
      </c>
      <c r="AC23" s="395">
        <v>0</v>
      </c>
      <c r="AD23" s="395">
        <v>0</v>
      </c>
    </row>
    <row r="24" spans="1:30" x14ac:dyDescent="0.35">
      <c r="A24" s="1316" t="s">
        <v>183</v>
      </c>
      <c r="B24" s="197" t="s">
        <v>183</v>
      </c>
      <c r="C24" s="163"/>
      <c r="D24" s="1029"/>
      <c r="E24" s="537">
        <f>+E22+E23</f>
        <v>6000</v>
      </c>
      <c r="F24" s="145"/>
      <c r="G24" s="145"/>
      <c r="H24" s="145"/>
      <c r="I24" s="537">
        <f t="shared" ref="I24:N24" si="7">+I22+I23</f>
        <v>6000</v>
      </c>
      <c r="J24" s="537">
        <f t="shared" si="7"/>
        <v>0</v>
      </c>
      <c r="K24" s="537">
        <f t="shared" si="7"/>
        <v>5000</v>
      </c>
      <c r="L24" s="1047">
        <f t="shared" si="7"/>
        <v>0</v>
      </c>
      <c r="M24" s="1030">
        <f t="shared" si="7"/>
        <v>0</v>
      </c>
      <c r="N24" s="1031">
        <f t="shared" si="7"/>
        <v>0</v>
      </c>
      <c r="O24" s="177"/>
      <c r="P24" s="177"/>
      <c r="Q24" s="177"/>
      <c r="R24" s="177"/>
      <c r="S24" s="602">
        <f t="shared" ref="S24:AD24" si="8">+S22+S23</f>
        <v>6000</v>
      </c>
      <c r="T24" s="602">
        <f t="shared" si="8"/>
        <v>6000</v>
      </c>
      <c r="U24" s="602">
        <f t="shared" si="8"/>
        <v>3000</v>
      </c>
      <c r="V24" s="396">
        <f t="shared" si="8"/>
        <v>6000</v>
      </c>
      <c r="W24" s="396">
        <f t="shared" si="8"/>
        <v>6000</v>
      </c>
      <c r="X24" s="396">
        <f t="shared" si="8"/>
        <v>3000</v>
      </c>
      <c r="Y24" s="602">
        <f t="shared" si="8"/>
        <v>6000</v>
      </c>
      <c r="Z24" s="602">
        <f t="shared" si="8"/>
        <v>6000</v>
      </c>
      <c r="AA24" s="602">
        <f t="shared" si="8"/>
        <v>3000</v>
      </c>
      <c r="AB24" s="396">
        <f t="shared" si="8"/>
        <v>6000</v>
      </c>
      <c r="AC24" s="396">
        <f t="shared" si="8"/>
        <v>6000</v>
      </c>
      <c r="AD24" s="396">
        <f t="shared" si="8"/>
        <v>3000</v>
      </c>
    </row>
    <row r="25" spans="1:30" ht="14.5" customHeight="1" x14ac:dyDescent="0.35">
      <c r="A25" s="1317"/>
      <c r="B25" s="184" t="s">
        <v>630</v>
      </c>
      <c r="C25" s="169"/>
      <c r="D25" s="178"/>
      <c r="E25" s="428">
        <v>0</v>
      </c>
      <c r="F25" s="1028"/>
      <c r="G25" s="1028"/>
      <c r="H25" s="1028"/>
      <c r="I25" s="428">
        <v>0</v>
      </c>
      <c r="J25" s="428">
        <f>835*4</f>
        <v>3340</v>
      </c>
      <c r="K25" s="396">
        <f>ROUND((I25/12*10)+J25,0)</f>
        <v>3340</v>
      </c>
      <c r="L25" s="1048">
        <f>835*12*2</f>
        <v>20040</v>
      </c>
      <c r="M25" s="1024">
        <f>835*12*2</f>
        <v>20040</v>
      </c>
      <c r="N25" s="1025">
        <v>20040</v>
      </c>
      <c r="O25" s="177"/>
      <c r="P25" s="177"/>
      <c r="Q25" s="177"/>
      <c r="R25" s="177"/>
      <c r="S25" s="136"/>
      <c r="T25" s="136"/>
      <c r="U25" s="136"/>
      <c r="V25" s="169"/>
      <c r="W25" s="169"/>
      <c r="X25" s="169"/>
      <c r="Y25" s="136"/>
      <c r="Z25" s="136"/>
      <c r="AA25" s="136"/>
      <c r="AB25" s="169"/>
      <c r="AC25" s="169"/>
      <c r="AD25" s="169"/>
    </row>
    <row r="26" spans="1:30" x14ac:dyDescent="0.35">
      <c r="A26" s="1317"/>
      <c r="B26" s="176" t="s">
        <v>283</v>
      </c>
      <c r="C26" s="169"/>
      <c r="D26" s="126"/>
      <c r="E26" s="395">
        <v>1800</v>
      </c>
      <c r="F26" s="294"/>
      <c r="G26" s="294"/>
      <c r="H26" s="294"/>
      <c r="I26" s="395">
        <v>1800</v>
      </c>
      <c r="J26" s="395">
        <v>0</v>
      </c>
      <c r="K26" s="188">
        <f>+I26/12*10</f>
        <v>1500</v>
      </c>
      <c r="L26" s="1049">
        <v>0</v>
      </c>
      <c r="M26" s="600">
        <v>0</v>
      </c>
      <c r="N26" s="565">
        <v>0</v>
      </c>
      <c r="O26" s="177"/>
      <c r="P26" s="177"/>
      <c r="Q26" s="177"/>
      <c r="R26" s="177"/>
      <c r="S26" s="600">
        <v>1800</v>
      </c>
      <c r="T26" s="600">
        <v>1800</v>
      </c>
      <c r="U26" s="600">
        <v>900</v>
      </c>
      <c r="V26" s="395">
        <v>1800</v>
      </c>
      <c r="W26" s="395">
        <v>1800</v>
      </c>
      <c r="X26" s="395">
        <v>900</v>
      </c>
      <c r="Y26" s="600">
        <v>1800</v>
      </c>
      <c r="Z26" s="600">
        <v>1800</v>
      </c>
      <c r="AA26" s="600">
        <v>900</v>
      </c>
      <c r="AB26" s="395">
        <v>1800</v>
      </c>
      <c r="AC26" s="395">
        <v>1800</v>
      </c>
      <c r="AD26" s="395">
        <v>900</v>
      </c>
    </row>
    <row r="27" spans="1:30" x14ac:dyDescent="0.35">
      <c r="A27" s="1317"/>
      <c r="B27" s="176" t="s">
        <v>476</v>
      </c>
      <c r="C27" s="169"/>
      <c r="D27" s="747"/>
      <c r="E27" s="424">
        <v>0.25</v>
      </c>
      <c r="F27" s="147"/>
      <c r="G27" s="294"/>
      <c r="H27" s="294"/>
      <c r="I27" s="424">
        <v>0.25</v>
      </c>
      <c r="J27" s="424">
        <v>0.25</v>
      </c>
      <c r="K27" s="424">
        <v>0.25</v>
      </c>
      <c r="L27" s="1045">
        <v>0.25</v>
      </c>
      <c r="M27" s="601">
        <v>0.25</v>
      </c>
      <c r="N27" s="568">
        <v>0.25</v>
      </c>
      <c r="O27" s="177"/>
      <c r="P27" s="177"/>
      <c r="Q27" s="177"/>
      <c r="R27" s="177"/>
      <c r="S27" s="601">
        <v>0.25</v>
      </c>
      <c r="T27" s="601">
        <v>0.25</v>
      </c>
      <c r="U27" s="601">
        <v>0.25</v>
      </c>
      <c r="V27" s="424">
        <v>0.25</v>
      </c>
      <c r="W27" s="424">
        <v>0.25</v>
      </c>
      <c r="X27" s="424">
        <v>0.25</v>
      </c>
      <c r="Y27" s="601">
        <v>0.25</v>
      </c>
      <c r="Z27" s="601">
        <v>0.25</v>
      </c>
      <c r="AA27" s="601">
        <v>0.25</v>
      </c>
      <c r="AB27" s="424">
        <v>0.25</v>
      </c>
      <c r="AC27" s="424">
        <v>0.25</v>
      </c>
      <c r="AD27" s="424">
        <v>0.25</v>
      </c>
    </row>
    <row r="28" spans="1:30" x14ac:dyDescent="0.35">
      <c r="A28" s="1317"/>
      <c r="B28" s="184" t="s">
        <v>312</v>
      </c>
      <c r="C28" s="428">
        <v>0</v>
      </c>
      <c r="D28" s="427">
        <v>0</v>
      </c>
      <c r="E28" s="396">
        <f>ROUND(+E26/(1-E27),0)</f>
        <v>2400</v>
      </c>
      <c r="F28" s="147"/>
      <c r="G28" s="294"/>
      <c r="H28" s="294"/>
      <c r="I28" s="396">
        <f t="shared" ref="I28:N28" si="9">ROUND(+I26/(1-I27),0)</f>
        <v>2400</v>
      </c>
      <c r="J28" s="396">
        <f t="shared" si="9"/>
        <v>0</v>
      </c>
      <c r="K28" s="396">
        <f t="shared" si="9"/>
        <v>2000</v>
      </c>
      <c r="L28" s="1050">
        <f t="shared" si="9"/>
        <v>0</v>
      </c>
      <c r="M28" s="602">
        <f t="shared" si="9"/>
        <v>0</v>
      </c>
      <c r="N28" s="570">
        <f t="shared" si="9"/>
        <v>0</v>
      </c>
      <c r="O28" s="177"/>
      <c r="P28" s="177"/>
      <c r="Q28" s="177"/>
      <c r="R28" s="177"/>
      <c r="S28" s="602">
        <f t="shared" ref="S28:AD28" si="10">ROUND(+S26/(1-S27),0)</f>
        <v>2400</v>
      </c>
      <c r="T28" s="602">
        <f t="shared" si="10"/>
        <v>2400</v>
      </c>
      <c r="U28" s="602">
        <f t="shared" si="10"/>
        <v>1200</v>
      </c>
      <c r="V28" s="396">
        <f t="shared" si="10"/>
        <v>2400</v>
      </c>
      <c r="W28" s="396">
        <f t="shared" si="10"/>
        <v>2400</v>
      </c>
      <c r="X28" s="396">
        <f t="shared" si="10"/>
        <v>1200</v>
      </c>
      <c r="Y28" s="602">
        <f t="shared" si="10"/>
        <v>2400</v>
      </c>
      <c r="Z28" s="602">
        <f t="shared" si="10"/>
        <v>2400</v>
      </c>
      <c r="AA28" s="602">
        <f t="shared" si="10"/>
        <v>1200</v>
      </c>
      <c r="AB28" s="396">
        <f t="shared" si="10"/>
        <v>2400</v>
      </c>
      <c r="AC28" s="396">
        <f t="shared" si="10"/>
        <v>2400</v>
      </c>
      <c r="AD28" s="396">
        <f t="shared" si="10"/>
        <v>1200</v>
      </c>
    </row>
    <row r="29" spans="1:30" x14ac:dyDescent="0.35">
      <c r="A29" s="1318"/>
      <c r="B29" s="191" t="s">
        <v>184</v>
      </c>
      <c r="C29" s="534">
        <v>0</v>
      </c>
      <c r="D29" s="748">
        <v>0</v>
      </c>
      <c r="E29" s="195">
        <f>+E24-E26</f>
        <v>4200</v>
      </c>
      <c r="F29" s="294"/>
      <c r="G29" s="294"/>
      <c r="H29" s="294"/>
      <c r="I29" s="195">
        <f t="shared" ref="I29:N29" si="11">+I24-I26</f>
        <v>4200</v>
      </c>
      <c r="J29" s="195">
        <f t="shared" si="11"/>
        <v>0</v>
      </c>
      <c r="K29" s="195">
        <f t="shared" si="11"/>
        <v>3500</v>
      </c>
      <c r="L29" s="1046">
        <f t="shared" si="11"/>
        <v>0</v>
      </c>
      <c r="M29" s="142">
        <f t="shared" si="11"/>
        <v>0</v>
      </c>
      <c r="N29" s="563">
        <f t="shared" si="11"/>
        <v>0</v>
      </c>
      <c r="O29" s="177"/>
      <c r="P29" s="149"/>
      <c r="Q29" s="177"/>
      <c r="R29" s="177"/>
      <c r="S29" s="142">
        <f t="shared" ref="S29:AD29" si="12">+S24-S26</f>
        <v>4200</v>
      </c>
      <c r="T29" s="142">
        <f t="shared" si="12"/>
        <v>4200</v>
      </c>
      <c r="U29" s="142">
        <f t="shared" si="12"/>
        <v>2100</v>
      </c>
      <c r="V29" s="195">
        <f t="shared" si="12"/>
        <v>4200</v>
      </c>
      <c r="W29" s="195">
        <f t="shared" si="12"/>
        <v>4200</v>
      </c>
      <c r="X29" s="195">
        <f t="shared" si="12"/>
        <v>2100</v>
      </c>
      <c r="Y29" s="142">
        <f t="shared" si="12"/>
        <v>4200</v>
      </c>
      <c r="Z29" s="142">
        <f t="shared" si="12"/>
        <v>4200</v>
      </c>
      <c r="AA29" s="142">
        <f t="shared" si="12"/>
        <v>2100</v>
      </c>
      <c r="AB29" s="195">
        <f t="shared" si="12"/>
        <v>4200</v>
      </c>
      <c r="AC29" s="195">
        <f t="shared" si="12"/>
        <v>4200</v>
      </c>
      <c r="AD29" s="195">
        <f t="shared" si="12"/>
        <v>2100</v>
      </c>
    </row>
    <row r="30" spans="1:30" ht="7" customHeight="1" x14ac:dyDescent="0.35">
      <c r="B30" s="196"/>
      <c r="D30" s="196"/>
      <c r="E30" s="196"/>
      <c r="I30" s="196"/>
      <c r="J30" s="196"/>
      <c r="K30" s="196"/>
      <c r="L30" s="196"/>
      <c r="M30" s="196"/>
      <c r="N30" s="196"/>
      <c r="O30" s="177"/>
      <c r="P30" s="177"/>
      <c r="Q30" s="177"/>
      <c r="R30" s="177"/>
      <c r="S30" s="196"/>
      <c r="T30" s="196"/>
      <c r="U30" s="196"/>
      <c r="V30" s="196"/>
      <c r="W30" s="196"/>
      <c r="X30" s="196"/>
      <c r="Y30" s="196"/>
      <c r="Z30" s="196"/>
      <c r="AA30" s="196"/>
      <c r="AB30" s="196"/>
      <c r="AC30" s="196"/>
      <c r="AD30" s="196"/>
    </row>
    <row r="31" spans="1:30" x14ac:dyDescent="0.35">
      <c r="A31" s="1316" t="s">
        <v>160</v>
      </c>
      <c r="B31" s="197" t="s">
        <v>477</v>
      </c>
      <c r="C31" s="416">
        <v>0.1</v>
      </c>
      <c r="D31" s="416">
        <v>0.1</v>
      </c>
      <c r="E31" s="397">
        <v>0.1</v>
      </c>
      <c r="I31" s="397">
        <v>0.1</v>
      </c>
      <c r="J31" s="397">
        <v>0.1</v>
      </c>
      <c r="K31" s="397"/>
      <c r="L31" s="1051">
        <v>0.1</v>
      </c>
      <c r="M31" s="596">
        <v>0.1</v>
      </c>
      <c r="N31" s="579">
        <v>0.1</v>
      </c>
      <c r="O31" s="177"/>
      <c r="P31" s="177"/>
      <c r="Q31" s="177"/>
      <c r="R31" s="177"/>
      <c r="S31" s="596">
        <v>0.1</v>
      </c>
      <c r="T31" s="596">
        <v>0.1</v>
      </c>
      <c r="U31" s="596">
        <v>0.1</v>
      </c>
      <c r="V31" s="397">
        <v>0.1</v>
      </c>
      <c r="W31" s="397">
        <v>0.1</v>
      </c>
      <c r="X31" s="397">
        <v>0.1</v>
      </c>
      <c r="Y31" s="596">
        <v>0.1</v>
      </c>
      <c r="Z31" s="596">
        <v>0.1</v>
      </c>
      <c r="AA31" s="596">
        <v>0.1</v>
      </c>
      <c r="AB31" s="397">
        <v>0.1</v>
      </c>
      <c r="AC31" s="397">
        <v>0.1</v>
      </c>
      <c r="AD31" s="397">
        <v>0.1</v>
      </c>
    </row>
    <row r="32" spans="1:30" x14ac:dyDescent="0.35">
      <c r="A32" s="1317"/>
      <c r="B32" s="176" t="s">
        <v>188</v>
      </c>
      <c r="C32" s="166">
        <f>+C20</f>
        <v>62748</v>
      </c>
      <c r="D32" s="166">
        <f>+D20</f>
        <v>31375</v>
      </c>
      <c r="E32" s="417">
        <f>+E20</f>
        <v>70066</v>
      </c>
      <c r="I32" s="417">
        <f>+I20</f>
        <v>72075</v>
      </c>
      <c r="J32" s="417">
        <f>+J20</f>
        <v>11581.833333333334</v>
      </c>
      <c r="K32" s="417">
        <f>ROUND((I32/12*10)+J32,0)</f>
        <v>71644</v>
      </c>
      <c r="L32" s="1052">
        <f>+L20</f>
        <v>69491</v>
      </c>
      <c r="M32" s="405">
        <f>+M20</f>
        <v>73672</v>
      </c>
      <c r="N32" s="756">
        <f>+N20</f>
        <v>76620</v>
      </c>
      <c r="O32" s="177"/>
      <c r="P32" s="177"/>
      <c r="Q32" s="177"/>
      <c r="R32" s="177"/>
      <c r="S32" s="405">
        <f t="shared" ref="S32:AD32" si="13">+S20</f>
        <v>84567</v>
      </c>
      <c r="T32" s="405">
        <f t="shared" si="13"/>
        <v>81414</v>
      </c>
      <c r="U32" s="405">
        <f t="shared" si="13"/>
        <v>40707</v>
      </c>
      <c r="V32" s="417">
        <f t="shared" si="13"/>
        <v>85333</v>
      </c>
      <c r="W32" s="417">
        <f t="shared" si="13"/>
        <v>82151</v>
      </c>
      <c r="X32" s="417">
        <f t="shared" si="13"/>
        <v>41075.5</v>
      </c>
      <c r="Y32" s="405">
        <f t="shared" si="13"/>
        <v>86100</v>
      </c>
      <c r="Z32" s="405">
        <f t="shared" si="13"/>
        <v>82887</v>
      </c>
      <c r="AA32" s="405">
        <f t="shared" si="13"/>
        <v>41443.5</v>
      </c>
      <c r="AB32" s="417">
        <f t="shared" si="13"/>
        <v>86866</v>
      </c>
      <c r="AC32" s="417">
        <f t="shared" si="13"/>
        <v>83625</v>
      </c>
      <c r="AD32" s="417">
        <f t="shared" si="13"/>
        <v>41812</v>
      </c>
    </row>
    <row r="33" spans="1:30" x14ac:dyDescent="0.35">
      <c r="A33" s="1317"/>
      <c r="B33" s="176" t="s">
        <v>160</v>
      </c>
      <c r="C33" s="166">
        <f>ROUND(+C32*C31,0)</f>
        <v>6275</v>
      </c>
      <c r="D33" s="166">
        <f>ROUND(+D32*D31,0)</f>
        <v>3138</v>
      </c>
      <c r="E33" s="417">
        <f>ROUND(+E32*E31,0)</f>
        <v>7007</v>
      </c>
      <c r="I33" s="417">
        <f>ROUND(+I32*I31,0)</f>
        <v>7208</v>
      </c>
      <c r="J33" s="417">
        <f>ROUND(+J32*J31,0)</f>
        <v>1158</v>
      </c>
      <c r="K33" s="417">
        <f>ROUND((I33/12*10)+J33,0)</f>
        <v>7165</v>
      </c>
      <c r="L33" s="1052">
        <f>ROUND(+L32*L31,0)</f>
        <v>6949</v>
      </c>
      <c r="M33" s="405">
        <f>ROUND(+M32*M31,0)</f>
        <v>7367</v>
      </c>
      <c r="N33" s="756">
        <f>ROUND(+N32*N31,0)</f>
        <v>7662</v>
      </c>
      <c r="S33" s="405">
        <f t="shared" ref="S33:AD33" si="14">ROUND(+S32*S31,0)</f>
        <v>8457</v>
      </c>
      <c r="T33" s="405">
        <f t="shared" si="14"/>
        <v>8141</v>
      </c>
      <c r="U33" s="405">
        <f t="shared" si="14"/>
        <v>4071</v>
      </c>
      <c r="V33" s="417">
        <f t="shared" si="14"/>
        <v>8533</v>
      </c>
      <c r="W33" s="417">
        <f t="shared" si="14"/>
        <v>8215</v>
      </c>
      <c r="X33" s="417">
        <f t="shared" si="14"/>
        <v>4108</v>
      </c>
      <c r="Y33" s="405">
        <f t="shared" si="14"/>
        <v>8610</v>
      </c>
      <c r="Z33" s="405">
        <f t="shared" si="14"/>
        <v>8289</v>
      </c>
      <c r="AA33" s="405">
        <f t="shared" si="14"/>
        <v>4144</v>
      </c>
      <c r="AB33" s="417">
        <f t="shared" si="14"/>
        <v>8687</v>
      </c>
      <c r="AC33" s="417">
        <f t="shared" si="14"/>
        <v>8363</v>
      </c>
      <c r="AD33" s="417">
        <f t="shared" si="14"/>
        <v>4181</v>
      </c>
    </row>
    <row r="34" spans="1:30" x14ac:dyDescent="0.35">
      <c r="A34" s="1317"/>
      <c r="B34" s="176" t="s">
        <v>186</v>
      </c>
      <c r="C34" s="166">
        <f>+C29</f>
        <v>0</v>
      </c>
      <c r="D34" s="166">
        <f>+D29</f>
        <v>0</v>
      </c>
      <c r="E34" s="417">
        <f>+E29</f>
        <v>4200</v>
      </c>
      <c r="I34" s="417">
        <f>+I29</f>
        <v>4200</v>
      </c>
      <c r="J34" s="417">
        <f>+J29</f>
        <v>0</v>
      </c>
      <c r="K34" s="417">
        <f>ROUND((I34/12*10)+J34,0)</f>
        <v>3500</v>
      </c>
      <c r="L34" s="1052">
        <f>+L29</f>
        <v>0</v>
      </c>
      <c r="M34" s="405">
        <f>+M29</f>
        <v>0</v>
      </c>
      <c r="N34" s="756">
        <f>+N29</f>
        <v>0</v>
      </c>
      <c r="S34" s="405">
        <f t="shared" ref="S34:AD34" si="15">+S29</f>
        <v>4200</v>
      </c>
      <c r="T34" s="405">
        <f t="shared" si="15"/>
        <v>4200</v>
      </c>
      <c r="U34" s="405">
        <f t="shared" si="15"/>
        <v>2100</v>
      </c>
      <c r="V34" s="417">
        <f t="shared" si="15"/>
        <v>4200</v>
      </c>
      <c r="W34" s="417">
        <f t="shared" si="15"/>
        <v>4200</v>
      </c>
      <c r="X34" s="417">
        <f t="shared" si="15"/>
        <v>2100</v>
      </c>
      <c r="Y34" s="405">
        <f t="shared" si="15"/>
        <v>4200</v>
      </c>
      <c r="Z34" s="405">
        <f t="shared" si="15"/>
        <v>4200</v>
      </c>
      <c r="AA34" s="405">
        <f t="shared" si="15"/>
        <v>2100</v>
      </c>
      <c r="AB34" s="417">
        <f t="shared" si="15"/>
        <v>4200</v>
      </c>
      <c r="AC34" s="417">
        <f t="shared" si="15"/>
        <v>4200</v>
      </c>
      <c r="AD34" s="417">
        <f t="shared" si="15"/>
        <v>2100</v>
      </c>
    </row>
    <row r="35" spans="1:30" x14ac:dyDescent="0.35">
      <c r="A35" s="1317"/>
      <c r="B35" s="176" t="s">
        <v>285</v>
      </c>
      <c r="C35" s="166"/>
      <c r="D35" s="166"/>
      <c r="E35" s="417">
        <f>+E34+E33</f>
        <v>11207</v>
      </c>
      <c r="I35" s="417">
        <f t="shared" ref="I35:N35" si="16">+I34+I33</f>
        <v>11408</v>
      </c>
      <c r="J35" s="417">
        <f t="shared" si="16"/>
        <v>1158</v>
      </c>
      <c r="K35" s="417">
        <f t="shared" si="16"/>
        <v>10665</v>
      </c>
      <c r="L35" s="1052">
        <f t="shared" si="16"/>
        <v>6949</v>
      </c>
      <c r="M35" s="405">
        <f t="shared" si="16"/>
        <v>7367</v>
      </c>
      <c r="N35" s="756">
        <f t="shared" si="16"/>
        <v>7662</v>
      </c>
      <c r="S35" s="405">
        <f t="shared" ref="S35:AD35" si="17">+S34+S33</f>
        <v>12657</v>
      </c>
      <c r="T35" s="405">
        <f t="shared" si="17"/>
        <v>12341</v>
      </c>
      <c r="U35" s="405">
        <f t="shared" si="17"/>
        <v>6171</v>
      </c>
      <c r="V35" s="417">
        <f t="shared" si="17"/>
        <v>12733</v>
      </c>
      <c r="W35" s="417">
        <f t="shared" si="17"/>
        <v>12415</v>
      </c>
      <c r="X35" s="417">
        <f t="shared" si="17"/>
        <v>6208</v>
      </c>
      <c r="Y35" s="405">
        <f t="shared" si="17"/>
        <v>12810</v>
      </c>
      <c r="Z35" s="405">
        <f t="shared" si="17"/>
        <v>12489</v>
      </c>
      <c r="AA35" s="405">
        <f t="shared" si="17"/>
        <v>6244</v>
      </c>
      <c r="AB35" s="417">
        <f t="shared" si="17"/>
        <v>12887</v>
      </c>
      <c r="AC35" s="417">
        <f t="shared" si="17"/>
        <v>12563</v>
      </c>
      <c r="AD35" s="417">
        <f t="shared" si="17"/>
        <v>6281</v>
      </c>
    </row>
    <row r="36" spans="1:30" x14ac:dyDescent="0.35">
      <c r="A36" s="1317"/>
      <c r="B36" s="176" t="s">
        <v>191</v>
      </c>
      <c r="C36" s="817">
        <f>+C38/C32</f>
        <v>0.10000318735258494</v>
      </c>
      <c r="D36" s="817">
        <f>+D38/D32</f>
        <v>0.10001593625498008</v>
      </c>
      <c r="E36" s="593">
        <f>+E35/E20</f>
        <v>0.15994919076299488</v>
      </c>
      <c r="I36" s="593">
        <f>+I35/I20</f>
        <v>0.15827956989247313</v>
      </c>
      <c r="J36" s="593">
        <f>+J35/J20</f>
        <v>9.9984170612021694E-2</v>
      </c>
      <c r="K36" s="593">
        <f>+K35/K20</f>
        <v>0.14886103511808385</v>
      </c>
      <c r="L36" s="1053">
        <f>IF(L20=0,0,+L35/L20)</f>
        <v>9.9998560964729241E-2</v>
      </c>
      <c r="M36" s="423">
        <f>IF(M20=0,0,+M35/M20)</f>
        <v>9.9997285264415245E-2</v>
      </c>
      <c r="N36" s="558">
        <f>+N35/N20</f>
        <v>0.1</v>
      </c>
      <c r="S36" s="423">
        <f t="shared" ref="S36:AD36" si="18">+S35/S20</f>
        <v>0.14966831033381817</v>
      </c>
      <c r="T36" s="423">
        <f t="shared" si="18"/>
        <v>0.15158326577738473</v>
      </c>
      <c r="U36" s="423">
        <f t="shared" si="18"/>
        <v>0.15159554867713171</v>
      </c>
      <c r="V36" s="593">
        <f t="shared" si="18"/>
        <v>0.14921542662276024</v>
      </c>
      <c r="W36" s="593">
        <f t="shared" si="18"/>
        <v>0.15112414943214325</v>
      </c>
      <c r="X36" s="593">
        <f t="shared" si="18"/>
        <v>0.15113632213850106</v>
      </c>
      <c r="Y36" s="423">
        <f t="shared" si="18"/>
        <v>0.14878048780487804</v>
      </c>
      <c r="Z36" s="423">
        <f t="shared" si="18"/>
        <v>0.15067501538238806</v>
      </c>
      <c r="AA36" s="423">
        <f t="shared" si="18"/>
        <v>0.15066295076429356</v>
      </c>
      <c r="AB36" s="593">
        <f t="shared" si="18"/>
        <v>0.14835493748992701</v>
      </c>
      <c r="AC36" s="593">
        <f t="shared" si="18"/>
        <v>0.15023019431988041</v>
      </c>
      <c r="AD36" s="593">
        <f t="shared" si="18"/>
        <v>0.15022003252654739</v>
      </c>
    </row>
    <row r="37" spans="1:30" x14ac:dyDescent="0.35">
      <c r="A37" s="1317"/>
      <c r="B37" s="176" t="s">
        <v>284</v>
      </c>
      <c r="C37" s="166"/>
      <c r="D37" s="166"/>
      <c r="E37" s="594">
        <v>0.16</v>
      </c>
      <c r="I37" s="594">
        <v>0.16</v>
      </c>
      <c r="J37" s="594">
        <v>0.1</v>
      </c>
      <c r="K37" s="594"/>
      <c r="L37" s="1054">
        <v>0.1</v>
      </c>
      <c r="M37" s="599">
        <v>0.1</v>
      </c>
      <c r="N37" s="559">
        <v>0.1</v>
      </c>
      <c r="S37" s="599">
        <v>0.155</v>
      </c>
      <c r="T37" s="599">
        <v>0.155</v>
      </c>
      <c r="U37" s="599">
        <v>0.155</v>
      </c>
      <c r="V37" s="594">
        <v>0.15</v>
      </c>
      <c r="W37" s="594">
        <v>0.155</v>
      </c>
      <c r="X37" s="594">
        <v>0.155</v>
      </c>
      <c r="Y37" s="599">
        <v>0.15</v>
      </c>
      <c r="Z37" s="599">
        <v>0.155</v>
      </c>
      <c r="AA37" s="599">
        <v>0.155</v>
      </c>
      <c r="AB37" s="594">
        <v>0.15</v>
      </c>
      <c r="AC37" s="594">
        <v>0.155</v>
      </c>
      <c r="AD37" s="594">
        <v>0.155</v>
      </c>
    </row>
    <row r="38" spans="1:30" x14ac:dyDescent="0.35">
      <c r="A38" s="1318"/>
      <c r="B38" s="191" t="s">
        <v>187</v>
      </c>
      <c r="C38" s="195">
        <f>+C33+C34</f>
        <v>6275</v>
      </c>
      <c r="D38" s="195">
        <f>+D33+D34</f>
        <v>3138</v>
      </c>
      <c r="E38" s="393">
        <f>ROUND(+E37*E20,0)</f>
        <v>11211</v>
      </c>
      <c r="I38" s="393">
        <f>ROUND(+I37*I20,0)</f>
        <v>11532</v>
      </c>
      <c r="J38" s="393">
        <f>ROUND(+J37*J20,0)</f>
        <v>1158</v>
      </c>
      <c r="K38" s="393">
        <f>+K35</f>
        <v>10665</v>
      </c>
      <c r="L38" s="1055">
        <f>ROUND(+L37*L20,0)</f>
        <v>6949</v>
      </c>
      <c r="M38" s="216">
        <f>ROUND(+M37*M20,0)</f>
        <v>7367</v>
      </c>
      <c r="N38" s="589">
        <f>ROUND(+N37*N20,0)</f>
        <v>7662</v>
      </c>
      <c r="P38" s="139"/>
      <c r="S38" s="216">
        <f t="shared" ref="S38:AD38" si="19">ROUND(+S37*S20,0)</f>
        <v>13108</v>
      </c>
      <c r="T38" s="216">
        <f t="shared" si="19"/>
        <v>12619</v>
      </c>
      <c r="U38" s="216">
        <f t="shared" si="19"/>
        <v>6310</v>
      </c>
      <c r="V38" s="393">
        <f t="shared" si="19"/>
        <v>12800</v>
      </c>
      <c r="W38" s="393">
        <f t="shared" si="19"/>
        <v>12733</v>
      </c>
      <c r="X38" s="393">
        <f t="shared" si="19"/>
        <v>6367</v>
      </c>
      <c r="Y38" s="216">
        <f t="shared" si="19"/>
        <v>12915</v>
      </c>
      <c r="Z38" s="216">
        <f t="shared" si="19"/>
        <v>12847</v>
      </c>
      <c r="AA38" s="216">
        <f t="shared" si="19"/>
        <v>6424</v>
      </c>
      <c r="AB38" s="393">
        <f t="shared" si="19"/>
        <v>13030</v>
      </c>
      <c r="AC38" s="393">
        <f t="shared" si="19"/>
        <v>12962</v>
      </c>
      <c r="AD38" s="393">
        <f t="shared" si="19"/>
        <v>6481</v>
      </c>
    </row>
    <row r="39" spans="1:30" ht="7" customHeight="1" x14ac:dyDescent="0.35">
      <c r="B39" s="196"/>
      <c r="D39" s="196"/>
      <c r="E39" s="196"/>
      <c r="I39" s="196"/>
      <c r="J39" s="196"/>
      <c r="K39" s="196"/>
      <c r="L39" s="196"/>
      <c r="M39" s="196"/>
      <c r="N39" s="196"/>
      <c r="S39" s="196"/>
      <c r="T39" s="196"/>
      <c r="U39" s="196"/>
      <c r="V39" s="196"/>
      <c r="W39" s="196"/>
      <c r="X39" s="196"/>
      <c r="Y39" s="196"/>
      <c r="Z39" s="196"/>
      <c r="AA39" s="196"/>
      <c r="AB39" s="196"/>
      <c r="AC39" s="196"/>
      <c r="AD39" s="196"/>
    </row>
    <row r="40" spans="1:30" x14ac:dyDescent="0.35">
      <c r="A40" s="1316" t="s">
        <v>161</v>
      </c>
      <c r="B40" s="162" t="s">
        <v>478</v>
      </c>
      <c r="C40" s="416">
        <v>1.4999999999999999E-2</v>
      </c>
      <c r="D40" s="416">
        <v>1.4999999999999999E-2</v>
      </c>
      <c r="E40" s="416">
        <v>1.4999999999999999E-2</v>
      </c>
      <c r="I40" s="416">
        <v>1.4999999999999999E-2</v>
      </c>
      <c r="J40" s="416">
        <v>1.4999999999999999E-2</v>
      </c>
      <c r="K40" s="416">
        <v>1.4999999999999999E-2</v>
      </c>
      <c r="L40" s="1056">
        <v>1.4999999999999999E-2</v>
      </c>
      <c r="M40" s="401">
        <v>1.4999999999999999E-2</v>
      </c>
      <c r="N40" s="808">
        <v>1.4999999999999999E-2</v>
      </c>
      <c r="S40" s="401">
        <v>1.4999999999999999E-2</v>
      </c>
      <c r="T40" s="401">
        <v>1.4999999999999999E-2</v>
      </c>
      <c r="U40" s="401">
        <v>1.4999999999999999E-2</v>
      </c>
      <c r="V40" s="416">
        <v>1.4999999999999999E-2</v>
      </c>
      <c r="W40" s="416">
        <v>1.4999999999999999E-2</v>
      </c>
      <c r="X40" s="416">
        <v>1.4999999999999999E-2</v>
      </c>
      <c r="Y40" s="401">
        <v>1.4999999999999999E-2</v>
      </c>
      <c r="Z40" s="401">
        <v>1.4999999999999999E-2</v>
      </c>
      <c r="AA40" s="401">
        <v>1.4999999999999999E-2</v>
      </c>
      <c r="AB40" s="416">
        <v>1.4999999999999999E-2</v>
      </c>
      <c r="AC40" s="416">
        <v>1.4999999999999999E-2</v>
      </c>
      <c r="AD40" s="416">
        <v>1.4999999999999999E-2</v>
      </c>
    </row>
    <row r="41" spans="1:30" x14ac:dyDescent="0.35">
      <c r="A41" s="1317"/>
      <c r="B41" s="176" t="s">
        <v>479</v>
      </c>
      <c r="C41" s="398">
        <v>7.0000000000000001E-3</v>
      </c>
      <c r="D41" s="398">
        <v>7.0000000000000001E-3</v>
      </c>
      <c r="E41" s="398">
        <v>7.0000000000000001E-3</v>
      </c>
      <c r="I41" s="398">
        <v>7.0000000000000001E-3</v>
      </c>
      <c r="J41" s="398">
        <v>7.0000000000000001E-3</v>
      </c>
      <c r="K41" s="398">
        <v>7.0000000000000001E-3</v>
      </c>
      <c r="L41" s="1041">
        <v>7.0000000000000001E-3</v>
      </c>
      <c r="M41" s="402">
        <v>7.0000000000000001E-3</v>
      </c>
      <c r="N41" s="585">
        <v>7.0000000000000001E-3</v>
      </c>
      <c r="P41" s="139"/>
      <c r="S41" s="402">
        <v>7.0000000000000001E-3</v>
      </c>
      <c r="T41" s="402">
        <v>7.0000000000000001E-3</v>
      </c>
      <c r="U41" s="402">
        <v>7.0000000000000001E-3</v>
      </c>
      <c r="V41" s="398">
        <v>7.0000000000000001E-3</v>
      </c>
      <c r="W41" s="398">
        <v>7.0000000000000001E-3</v>
      </c>
      <c r="X41" s="398">
        <v>7.0000000000000001E-3</v>
      </c>
      <c r="Y41" s="402">
        <v>7.0000000000000001E-3</v>
      </c>
      <c r="Z41" s="402">
        <v>7.0000000000000001E-3</v>
      </c>
      <c r="AA41" s="402">
        <v>7.0000000000000001E-3</v>
      </c>
      <c r="AB41" s="398">
        <v>7.0000000000000001E-3</v>
      </c>
      <c r="AC41" s="398">
        <v>7.0000000000000001E-3</v>
      </c>
      <c r="AD41" s="398">
        <v>7.0000000000000001E-3</v>
      </c>
    </row>
    <row r="42" spans="1:30" hidden="1" x14ac:dyDescent="0.35">
      <c r="A42" s="1317"/>
      <c r="B42" s="176" t="s">
        <v>276</v>
      </c>
      <c r="C42" s="398">
        <v>7.0000000000000001E-3</v>
      </c>
      <c r="D42" s="398">
        <v>7.0000000000000001E-3</v>
      </c>
      <c r="E42" s="398">
        <v>0</v>
      </c>
      <c r="F42" s="1311" t="s">
        <v>315</v>
      </c>
      <c r="G42" s="1312"/>
      <c r="H42" s="1313"/>
      <c r="I42" s="398">
        <v>0</v>
      </c>
      <c r="J42" s="398">
        <v>0</v>
      </c>
      <c r="K42" s="398">
        <v>0</v>
      </c>
      <c r="L42" s="1041">
        <v>0</v>
      </c>
      <c r="M42" s="402">
        <v>0</v>
      </c>
      <c r="N42" s="585">
        <v>0</v>
      </c>
      <c r="S42" s="402">
        <v>0</v>
      </c>
      <c r="T42" s="402">
        <v>0</v>
      </c>
      <c r="U42" s="402">
        <v>0</v>
      </c>
      <c r="V42" s="398">
        <v>0</v>
      </c>
      <c r="W42" s="398">
        <v>0</v>
      </c>
      <c r="X42" s="398">
        <v>0</v>
      </c>
      <c r="Y42" s="402">
        <v>0</v>
      </c>
      <c r="Z42" s="402">
        <v>0</v>
      </c>
      <c r="AA42" s="402">
        <v>0</v>
      </c>
      <c r="AB42" s="398">
        <v>0</v>
      </c>
      <c r="AC42" s="398">
        <v>0</v>
      </c>
      <c r="AD42" s="398">
        <v>0</v>
      </c>
    </row>
    <row r="43" spans="1:30" x14ac:dyDescent="0.35">
      <c r="A43" s="1317"/>
      <c r="B43" s="176" t="s">
        <v>480</v>
      </c>
      <c r="C43" s="399">
        <f>+C40+C41+C42</f>
        <v>2.8999999999999998E-2</v>
      </c>
      <c r="D43" s="399">
        <f>+D40+D41+D42</f>
        <v>2.8999999999999998E-2</v>
      </c>
      <c r="E43" s="399">
        <f>+E40+E41+E42</f>
        <v>2.1999999999999999E-2</v>
      </c>
      <c r="I43" s="399">
        <f t="shared" ref="I43:N43" si="20">+I40+I41+I42</f>
        <v>2.1999999999999999E-2</v>
      </c>
      <c r="J43" s="399">
        <f t="shared" si="20"/>
        <v>2.1999999999999999E-2</v>
      </c>
      <c r="K43" s="399">
        <f t="shared" si="20"/>
        <v>2.1999999999999999E-2</v>
      </c>
      <c r="L43" s="1057">
        <f t="shared" si="20"/>
        <v>2.1999999999999999E-2</v>
      </c>
      <c r="M43" s="403">
        <f t="shared" si="20"/>
        <v>2.1999999999999999E-2</v>
      </c>
      <c r="N43" s="586">
        <f t="shared" si="20"/>
        <v>2.1999999999999999E-2</v>
      </c>
      <c r="S43" s="403">
        <f t="shared" ref="S43:AD43" si="21">+S40+S41+S42</f>
        <v>2.1999999999999999E-2</v>
      </c>
      <c r="T43" s="403">
        <f t="shared" si="21"/>
        <v>2.1999999999999999E-2</v>
      </c>
      <c r="U43" s="403">
        <f t="shared" si="21"/>
        <v>2.1999999999999999E-2</v>
      </c>
      <c r="V43" s="399">
        <f t="shared" si="21"/>
        <v>2.1999999999999999E-2</v>
      </c>
      <c r="W43" s="399">
        <f t="shared" si="21"/>
        <v>2.1999999999999999E-2</v>
      </c>
      <c r="X43" s="399">
        <f t="shared" si="21"/>
        <v>2.1999999999999999E-2</v>
      </c>
      <c r="Y43" s="403">
        <f t="shared" si="21"/>
        <v>2.1999999999999999E-2</v>
      </c>
      <c r="Z43" s="403">
        <f t="shared" si="21"/>
        <v>2.1999999999999999E-2</v>
      </c>
      <c r="AA43" s="403">
        <f t="shared" si="21"/>
        <v>2.1999999999999999E-2</v>
      </c>
      <c r="AB43" s="399">
        <f t="shared" si="21"/>
        <v>2.1999999999999999E-2</v>
      </c>
      <c r="AC43" s="399">
        <f t="shared" si="21"/>
        <v>2.1999999999999999E-2</v>
      </c>
      <c r="AD43" s="399">
        <f t="shared" si="21"/>
        <v>2.1999999999999999E-2</v>
      </c>
    </row>
    <row r="44" spans="1:30" x14ac:dyDescent="0.35">
      <c r="A44" s="1317"/>
      <c r="B44" s="176" t="s">
        <v>188</v>
      </c>
      <c r="C44" s="166">
        <f>+C20</f>
        <v>62748</v>
      </c>
      <c r="D44" s="166">
        <f>+D20</f>
        <v>31375</v>
      </c>
      <c r="E44" s="166">
        <f>+E20</f>
        <v>70066</v>
      </c>
      <c r="I44" s="166">
        <f t="shared" ref="I44:N44" si="22">+I20</f>
        <v>72075</v>
      </c>
      <c r="J44" s="166">
        <f t="shared" si="22"/>
        <v>11581.833333333334</v>
      </c>
      <c r="K44" s="166">
        <f t="shared" si="22"/>
        <v>71644</v>
      </c>
      <c r="L44" s="1058">
        <f t="shared" si="22"/>
        <v>69491</v>
      </c>
      <c r="M44" s="135">
        <f t="shared" si="22"/>
        <v>73672</v>
      </c>
      <c r="N44" s="552">
        <f t="shared" si="22"/>
        <v>76620</v>
      </c>
      <c r="S44" s="135">
        <f t="shared" ref="S44:AD44" si="23">+S20</f>
        <v>84567</v>
      </c>
      <c r="T44" s="135">
        <f t="shared" si="23"/>
        <v>81414</v>
      </c>
      <c r="U44" s="135">
        <f t="shared" si="23"/>
        <v>40707</v>
      </c>
      <c r="V44" s="166">
        <f t="shared" si="23"/>
        <v>85333</v>
      </c>
      <c r="W44" s="166">
        <f t="shared" si="23"/>
        <v>82151</v>
      </c>
      <c r="X44" s="166">
        <f t="shared" si="23"/>
        <v>41075.5</v>
      </c>
      <c r="Y44" s="135">
        <f t="shared" si="23"/>
        <v>86100</v>
      </c>
      <c r="Z44" s="135">
        <f t="shared" si="23"/>
        <v>82887</v>
      </c>
      <c r="AA44" s="135">
        <f t="shared" si="23"/>
        <v>41443.5</v>
      </c>
      <c r="AB44" s="166">
        <f t="shared" si="23"/>
        <v>86866</v>
      </c>
      <c r="AC44" s="166">
        <f t="shared" si="23"/>
        <v>83625</v>
      </c>
      <c r="AD44" s="166">
        <f t="shared" si="23"/>
        <v>41812</v>
      </c>
    </row>
    <row r="45" spans="1:30" x14ac:dyDescent="0.35">
      <c r="A45" s="1318"/>
      <c r="B45" s="152" t="s">
        <v>192</v>
      </c>
      <c r="C45" s="195">
        <f>ROUND(+C44*C43,0)</f>
        <v>1820</v>
      </c>
      <c r="D45" s="195">
        <f>ROUND(+D44*D43,0)</f>
        <v>910</v>
      </c>
      <c r="E45" s="535">
        <f>ROUND(+E44*E43,0)</f>
        <v>1541</v>
      </c>
      <c r="I45" s="195">
        <f t="shared" ref="I45:N45" si="24">ROUND(+I44*I43,0)</f>
        <v>1586</v>
      </c>
      <c r="J45" s="195">
        <f t="shared" si="24"/>
        <v>255</v>
      </c>
      <c r="K45" s="195">
        <f t="shared" si="24"/>
        <v>1576</v>
      </c>
      <c r="L45" s="1046">
        <f t="shared" si="24"/>
        <v>1529</v>
      </c>
      <c r="M45" s="142">
        <f t="shared" si="24"/>
        <v>1621</v>
      </c>
      <c r="N45" s="563">
        <f t="shared" si="24"/>
        <v>1686</v>
      </c>
      <c r="S45" s="142">
        <f t="shared" ref="S45:AD45" si="25">ROUND(+S44*S43,0)</f>
        <v>1860</v>
      </c>
      <c r="T45" s="142">
        <f t="shared" si="25"/>
        <v>1791</v>
      </c>
      <c r="U45" s="142">
        <f t="shared" si="25"/>
        <v>896</v>
      </c>
      <c r="V45" s="195">
        <f t="shared" si="25"/>
        <v>1877</v>
      </c>
      <c r="W45" s="195">
        <f t="shared" si="25"/>
        <v>1807</v>
      </c>
      <c r="X45" s="195">
        <f t="shared" si="25"/>
        <v>904</v>
      </c>
      <c r="Y45" s="142">
        <f t="shared" si="25"/>
        <v>1894</v>
      </c>
      <c r="Z45" s="142">
        <f t="shared" si="25"/>
        <v>1824</v>
      </c>
      <c r="AA45" s="142">
        <f t="shared" si="25"/>
        <v>912</v>
      </c>
      <c r="AB45" s="195">
        <f t="shared" si="25"/>
        <v>1911</v>
      </c>
      <c r="AC45" s="195">
        <f t="shared" si="25"/>
        <v>1840</v>
      </c>
      <c r="AD45" s="195">
        <f t="shared" si="25"/>
        <v>920</v>
      </c>
    </row>
    <row r="46" spans="1:30" ht="7.5" customHeight="1" x14ac:dyDescent="0.35">
      <c r="D46" s="196"/>
      <c r="I46" s="196"/>
      <c r="J46" s="196"/>
      <c r="K46" s="196"/>
      <c r="L46" s="196"/>
      <c r="V46" s="196"/>
      <c r="W46" s="196"/>
      <c r="X46" s="196"/>
      <c r="AB46" s="196"/>
      <c r="AC46" s="196"/>
      <c r="AD46" s="196"/>
    </row>
    <row r="47" spans="1:30" x14ac:dyDescent="0.35">
      <c r="A47" s="1316" t="s">
        <v>102</v>
      </c>
      <c r="B47" s="144" t="s">
        <v>197</v>
      </c>
      <c r="C47" s="539">
        <v>1200</v>
      </c>
      <c r="D47" s="749">
        <f>ROUND(C47*D$9,0)</f>
        <v>600</v>
      </c>
      <c r="E47" s="539">
        <v>1200</v>
      </c>
      <c r="I47" s="539">
        <v>1200</v>
      </c>
      <c r="J47" s="749">
        <f>+I47/12*2</f>
        <v>200</v>
      </c>
      <c r="K47" s="749">
        <f>ROUND((I47/12*10)+J47,0)</f>
        <v>1200</v>
      </c>
      <c r="L47" s="1059">
        <v>1200</v>
      </c>
      <c r="M47" s="751">
        <v>1200</v>
      </c>
      <c r="N47" s="809">
        <v>1200</v>
      </c>
      <c r="S47" s="751">
        <v>1200</v>
      </c>
      <c r="T47" s="751">
        <v>1200</v>
      </c>
      <c r="U47" s="751">
        <v>600</v>
      </c>
      <c r="V47" s="539">
        <v>1200</v>
      </c>
      <c r="W47" s="539">
        <v>1200</v>
      </c>
      <c r="X47" s="539">
        <v>600</v>
      </c>
      <c r="Y47" s="751">
        <v>1200</v>
      </c>
      <c r="Z47" s="751">
        <v>1200</v>
      </c>
      <c r="AA47" s="751">
        <v>600</v>
      </c>
      <c r="AB47" s="539">
        <v>1200</v>
      </c>
      <c r="AC47" s="539">
        <v>1200</v>
      </c>
      <c r="AD47" s="539">
        <v>600</v>
      </c>
    </row>
    <row r="48" spans="1:30" x14ac:dyDescent="0.35">
      <c r="A48" s="1317"/>
      <c r="B48" s="146" t="s">
        <v>426</v>
      </c>
      <c r="C48" s="392">
        <v>750</v>
      </c>
      <c r="D48" s="417">
        <f>ROUND(C48*D$9,0)</f>
        <v>375</v>
      </c>
      <c r="E48" s="392">
        <v>1300</v>
      </c>
      <c r="I48" s="392">
        <v>1300</v>
      </c>
      <c r="J48" s="417">
        <f>+I48/12*2</f>
        <v>216.66666666666666</v>
      </c>
      <c r="K48" s="417">
        <f>ROUND((I48/12*10)+J48,0)</f>
        <v>1300</v>
      </c>
      <c r="L48" s="1060">
        <v>1300</v>
      </c>
      <c r="M48" s="215">
        <v>1300</v>
      </c>
      <c r="N48" s="587">
        <v>1300</v>
      </c>
      <c r="S48" s="215">
        <v>1300</v>
      </c>
      <c r="T48" s="215">
        <v>1300</v>
      </c>
      <c r="U48" s="215">
        <f>+S48/2</f>
        <v>650</v>
      </c>
      <c r="V48" s="392">
        <v>1300</v>
      </c>
      <c r="W48" s="392">
        <v>1300</v>
      </c>
      <c r="X48" s="392">
        <f>+V48/2</f>
        <v>650</v>
      </c>
      <c r="Y48" s="215">
        <v>1300</v>
      </c>
      <c r="Z48" s="215">
        <v>1300</v>
      </c>
      <c r="AA48" s="215">
        <f>+Y48/2</f>
        <v>650</v>
      </c>
      <c r="AB48" s="392">
        <v>1300</v>
      </c>
      <c r="AC48" s="392">
        <v>1300</v>
      </c>
      <c r="AD48" s="392">
        <f>+AB48/2</f>
        <v>650</v>
      </c>
    </row>
    <row r="49" spans="1:30" x14ac:dyDescent="0.35">
      <c r="A49" s="1317"/>
      <c r="B49" s="146" t="s">
        <v>431</v>
      </c>
      <c r="C49" s="392"/>
      <c r="D49" s="417"/>
      <c r="E49" s="392"/>
      <c r="I49" s="392"/>
      <c r="J49" s="417"/>
      <c r="K49" s="392"/>
      <c r="L49" s="1060"/>
      <c r="M49" s="215"/>
      <c r="N49" s="587"/>
      <c r="S49" s="215"/>
      <c r="T49" s="215"/>
      <c r="U49" s="215"/>
      <c r="V49" s="392"/>
      <c r="W49" s="392"/>
      <c r="X49" s="392"/>
      <c r="Y49" s="215"/>
      <c r="Z49" s="215"/>
      <c r="AA49" s="215"/>
      <c r="AB49" s="392"/>
      <c r="AC49" s="392"/>
      <c r="AD49" s="392"/>
    </row>
    <row r="50" spans="1:30" x14ac:dyDescent="0.35">
      <c r="A50" s="1317"/>
      <c r="B50" s="146" t="s">
        <v>495</v>
      </c>
      <c r="C50" s="392"/>
      <c r="D50" s="417"/>
      <c r="E50" s="392"/>
      <c r="I50" s="392"/>
      <c r="J50" s="417"/>
      <c r="K50" s="392"/>
      <c r="L50" s="1060"/>
      <c r="M50" s="215"/>
      <c r="N50" s="587"/>
      <c r="S50" s="215"/>
      <c r="T50" s="215"/>
      <c r="U50" s="215"/>
      <c r="V50" s="392"/>
      <c r="W50" s="392"/>
      <c r="X50" s="392"/>
      <c r="Y50" s="215"/>
      <c r="Z50" s="215"/>
      <c r="AA50" s="215"/>
      <c r="AB50" s="392"/>
      <c r="AC50" s="392"/>
      <c r="AD50" s="392"/>
    </row>
    <row r="51" spans="1:30" x14ac:dyDescent="0.35">
      <c r="A51" s="1317"/>
      <c r="B51" s="146" t="s">
        <v>102</v>
      </c>
      <c r="C51" s="392">
        <v>600</v>
      </c>
      <c r="D51" s="417">
        <f>ROUND(C51*D$9,0)</f>
        <v>300</v>
      </c>
      <c r="E51" s="392">
        <v>600</v>
      </c>
      <c r="I51" s="392">
        <v>600</v>
      </c>
      <c r="J51" s="417">
        <f>+I51/12*2</f>
        <v>100</v>
      </c>
      <c r="K51" s="417">
        <f>ROUND((I51/12*10)+J51,0)</f>
        <v>600</v>
      </c>
      <c r="L51" s="1060">
        <v>600</v>
      </c>
      <c r="M51" s="215">
        <v>600</v>
      </c>
      <c r="N51" s="587">
        <v>600</v>
      </c>
      <c r="S51" s="215">
        <v>600</v>
      </c>
      <c r="T51" s="215">
        <v>600</v>
      </c>
      <c r="U51" s="215">
        <v>300</v>
      </c>
      <c r="V51" s="392">
        <v>600</v>
      </c>
      <c r="W51" s="392">
        <v>600</v>
      </c>
      <c r="X51" s="392">
        <v>300</v>
      </c>
      <c r="Y51" s="215">
        <v>600</v>
      </c>
      <c r="Z51" s="215">
        <v>600</v>
      </c>
      <c r="AA51" s="215">
        <v>300</v>
      </c>
      <c r="AB51" s="392">
        <v>600</v>
      </c>
      <c r="AC51" s="392">
        <v>600</v>
      </c>
      <c r="AD51" s="392">
        <v>300</v>
      </c>
    </row>
    <row r="52" spans="1:30" x14ac:dyDescent="0.35">
      <c r="A52" s="1317"/>
      <c r="B52" s="176" t="s">
        <v>209</v>
      </c>
      <c r="C52" s="392">
        <v>480</v>
      </c>
      <c r="D52" s="417">
        <f>ROUND(C52*D$9,0)</f>
        <v>240</v>
      </c>
      <c r="E52" s="392">
        <v>480</v>
      </c>
      <c r="F52" s="294"/>
      <c r="G52" s="294"/>
      <c r="H52" s="294"/>
      <c r="I52" s="392">
        <v>480</v>
      </c>
      <c r="J52" s="417">
        <f>+I52/12*2</f>
        <v>80</v>
      </c>
      <c r="K52" s="417">
        <f>ROUND((I52/12*10)+J52,0)</f>
        <v>480</v>
      </c>
      <c r="L52" s="1060">
        <v>480</v>
      </c>
      <c r="M52" s="215">
        <v>480</v>
      </c>
      <c r="N52" s="587">
        <v>480</v>
      </c>
      <c r="S52" s="215">
        <v>480</v>
      </c>
      <c r="T52" s="215">
        <v>480</v>
      </c>
      <c r="U52" s="215">
        <f>+S52/2</f>
        <v>240</v>
      </c>
      <c r="V52" s="392">
        <v>480</v>
      </c>
      <c r="W52" s="392">
        <v>480</v>
      </c>
      <c r="X52" s="392">
        <f>+V52/2</f>
        <v>240</v>
      </c>
      <c r="Y52" s="215">
        <v>480</v>
      </c>
      <c r="Z52" s="215">
        <v>480</v>
      </c>
      <c r="AA52" s="215">
        <f>+Y52/2</f>
        <v>240</v>
      </c>
      <c r="AB52" s="392">
        <v>480</v>
      </c>
      <c r="AC52" s="392">
        <v>480</v>
      </c>
      <c r="AD52" s="392">
        <f>+AB52/2</f>
        <v>240</v>
      </c>
    </row>
    <row r="53" spans="1:30" hidden="1" x14ac:dyDescent="0.35">
      <c r="A53" s="1317"/>
      <c r="B53" s="176" t="s">
        <v>269</v>
      </c>
      <c r="C53" s="392">
        <v>300</v>
      </c>
      <c r="D53" s="392">
        <v>300</v>
      </c>
      <c r="E53" s="392"/>
      <c r="F53" s="294"/>
      <c r="G53" s="294"/>
      <c r="H53" s="294"/>
      <c r="I53" s="392"/>
      <c r="J53" s="392"/>
      <c r="K53" s="392"/>
      <c r="L53" s="1060"/>
      <c r="M53" s="215"/>
      <c r="N53" s="587"/>
      <c r="S53" s="215"/>
      <c r="T53" s="215"/>
      <c r="U53" s="215"/>
      <c r="V53" s="392"/>
      <c r="W53" s="392"/>
      <c r="X53" s="392"/>
      <c r="Y53" s="215"/>
      <c r="Z53" s="215"/>
      <c r="AA53" s="215"/>
      <c r="AB53" s="392"/>
      <c r="AC53" s="392"/>
      <c r="AD53" s="392"/>
    </row>
    <row r="54" spans="1:30" x14ac:dyDescent="0.35">
      <c r="A54" s="1318"/>
      <c r="B54" s="157" t="s">
        <v>199</v>
      </c>
      <c r="C54" s="393">
        <f>+SUM(C47:C53)</f>
        <v>3330</v>
      </c>
      <c r="D54" s="393">
        <f>+SUM(D47:D53)</f>
        <v>1815</v>
      </c>
      <c r="E54" s="536">
        <f>+SUM(E47:E52)</f>
        <v>3580</v>
      </c>
      <c r="H54" s="139"/>
      <c r="I54" s="393">
        <f t="shared" ref="I54:N54" si="26">+SUM(I47:I52)</f>
        <v>3580</v>
      </c>
      <c r="J54" s="393">
        <f t="shared" si="26"/>
        <v>596.66666666666663</v>
      </c>
      <c r="K54" s="393">
        <f t="shared" si="26"/>
        <v>3580</v>
      </c>
      <c r="L54" s="1055">
        <f t="shared" si="26"/>
        <v>3580</v>
      </c>
      <c r="M54" s="216">
        <f t="shared" si="26"/>
        <v>3580</v>
      </c>
      <c r="N54" s="589">
        <f t="shared" si="26"/>
        <v>3580</v>
      </c>
      <c r="S54" s="216">
        <f t="shared" ref="S54:AD54" si="27">+SUM(S47:S52)</f>
        <v>3580</v>
      </c>
      <c r="T54" s="216">
        <f t="shared" si="27"/>
        <v>3580</v>
      </c>
      <c r="U54" s="216">
        <f t="shared" si="27"/>
        <v>1790</v>
      </c>
      <c r="V54" s="393">
        <f t="shared" si="27"/>
        <v>3580</v>
      </c>
      <c r="W54" s="393">
        <f t="shared" si="27"/>
        <v>3580</v>
      </c>
      <c r="X54" s="393">
        <f t="shared" si="27"/>
        <v>1790</v>
      </c>
      <c r="Y54" s="216">
        <f t="shared" si="27"/>
        <v>3580</v>
      </c>
      <c r="Z54" s="216">
        <f t="shared" si="27"/>
        <v>3580</v>
      </c>
      <c r="AA54" s="216">
        <f t="shared" si="27"/>
        <v>1790</v>
      </c>
      <c r="AB54" s="393">
        <f t="shared" si="27"/>
        <v>3580</v>
      </c>
      <c r="AC54" s="393">
        <f t="shared" si="27"/>
        <v>3580</v>
      </c>
      <c r="AD54" s="393">
        <f t="shared" si="27"/>
        <v>1790</v>
      </c>
    </row>
    <row r="55" spans="1:30" ht="8" customHeight="1" x14ac:dyDescent="0.35">
      <c r="D55" s="196"/>
      <c r="L55" s="196"/>
      <c r="V55" s="196"/>
      <c r="W55" s="196"/>
      <c r="X55" s="196"/>
      <c r="AB55" s="196"/>
      <c r="AC55" s="196"/>
      <c r="AD55" s="196"/>
    </row>
    <row r="56" spans="1:30" x14ac:dyDescent="0.35">
      <c r="B56" s="160" t="s">
        <v>279</v>
      </c>
      <c r="C56" s="394">
        <f>+C20+C22+C38+C45+C54</f>
        <v>96198</v>
      </c>
      <c r="D56" s="394">
        <f>+D20+D22+D38+D45+D54</f>
        <v>48251</v>
      </c>
      <c r="E56" s="161">
        <f>+E20+E38+E45+E54+E25</f>
        <v>86398</v>
      </c>
      <c r="F56" s="139"/>
      <c r="G56" s="607"/>
      <c r="H56" s="420"/>
      <c r="I56" s="161">
        <f t="shared" ref="I56:N56" si="28">+I20+I38+I45+I54+I25</f>
        <v>88773</v>
      </c>
      <c r="J56" s="161">
        <f t="shared" si="28"/>
        <v>16931.5</v>
      </c>
      <c r="K56" s="161">
        <f t="shared" si="28"/>
        <v>90805</v>
      </c>
      <c r="L56" s="1061">
        <f t="shared" si="28"/>
        <v>101589</v>
      </c>
      <c r="M56" s="161">
        <f t="shared" si="28"/>
        <v>106280</v>
      </c>
      <c r="N56" s="590">
        <f t="shared" si="28"/>
        <v>109588</v>
      </c>
      <c r="S56" s="161">
        <f t="shared" ref="S56:AD56" si="29">+S20+S38+S45+S54</f>
        <v>103115</v>
      </c>
      <c r="T56" s="161">
        <f t="shared" si="29"/>
        <v>99404</v>
      </c>
      <c r="U56" s="161">
        <f t="shared" si="29"/>
        <v>49703</v>
      </c>
      <c r="V56" s="394">
        <f t="shared" si="29"/>
        <v>103590</v>
      </c>
      <c r="W56" s="394">
        <f t="shared" si="29"/>
        <v>100271</v>
      </c>
      <c r="X56" s="394">
        <f t="shared" si="29"/>
        <v>50136.5</v>
      </c>
      <c r="Y56" s="161">
        <f t="shared" si="29"/>
        <v>104489</v>
      </c>
      <c r="Z56" s="161">
        <f t="shared" si="29"/>
        <v>101138</v>
      </c>
      <c r="AA56" s="161">
        <f t="shared" si="29"/>
        <v>50569.5</v>
      </c>
      <c r="AB56" s="394">
        <f t="shared" si="29"/>
        <v>105387</v>
      </c>
      <c r="AC56" s="394">
        <f t="shared" si="29"/>
        <v>102007</v>
      </c>
      <c r="AD56" s="394">
        <f t="shared" si="29"/>
        <v>51003</v>
      </c>
    </row>
    <row r="57" spans="1:30" ht="14.5" customHeight="1" x14ac:dyDescent="0.35">
      <c r="B57" s="219" t="s">
        <v>264</v>
      </c>
      <c r="C57" s="207"/>
      <c r="D57" s="207"/>
      <c r="E57" s="207"/>
      <c r="I57" s="207">
        <f>+I56-E56</f>
        <v>2375</v>
      </c>
      <c r="J57" s="207"/>
      <c r="K57" s="207">
        <f>+K56-I56</f>
        <v>2032</v>
      </c>
      <c r="L57" s="207"/>
      <c r="M57" s="207">
        <f>+M56-K56</f>
        <v>15475</v>
      </c>
      <c r="N57" s="207">
        <f>+N56-E56</f>
        <v>23190</v>
      </c>
      <c r="S57" s="207">
        <f>+S56-$I56</f>
        <v>14342</v>
      </c>
      <c r="T57" s="207">
        <f>+T56-$I56</f>
        <v>10631</v>
      </c>
      <c r="U57" s="207"/>
      <c r="V57" s="207">
        <f>+V56-$I56</f>
        <v>14817</v>
      </c>
      <c r="W57" s="207">
        <f>+W56-$I56</f>
        <v>11498</v>
      </c>
      <c r="X57" s="207"/>
      <c r="Y57" s="207">
        <f>+Y56-$I56</f>
        <v>15716</v>
      </c>
      <c r="Z57" s="207">
        <f>+Z56-$I56</f>
        <v>12365</v>
      </c>
      <c r="AA57" s="207"/>
      <c r="AB57" s="207">
        <f>+AB56-$I56</f>
        <v>16614</v>
      </c>
      <c r="AC57" s="207">
        <f>+AC56-$I56</f>
        <v>13234</v>
      </c>
      <c r="AD57" s="207"/>
    </row>
    <row r="58" spans="1:30" x14ac:dyDescent="0.35">
      <c r="I58" s="810">
        <f>(+I56-E56)/E56</f>
        <v>2.7489062246811267E-2</v>
      </c>
      <c r="J58" s="810"/>
      <c r="K58" s="810">
        <f>(+K56-I56)/I56</f>
        <v>2.2889842632331903E-2</v>
      </c>
      <c r="L58" s="1034"/>
      <c r="M58" s="810">
        <f>(+M56-K56)/K56</f>
        <v>0.1704201310500523</v>
      </c>
      <c r="N58" s="810">
        <f>(+N56-E56)/E56</f>
        <v>0.26840899094886456</v>
      </c>
      <c r="S58" s="810">
        <f>(+S56-$I56)/$I56</f>
        <v>0.16155813141383077</v>
      </c>
      <c r="T58" s="810">
        <f>(+T56-$I56)/$I56</f>
        <v>0.11975488042535455</v>
      </c>
      <c r="U58" s="810"/>
      <c r="V58" s="810">
        <f>(+V56-$I56)/$I56</f>
        <v>0.16690885742286507</v>
      </c>
      <c r="W58" s="810">
        <f>(+W56-$I56)/$I56</f>
        <v>0.12952136347763396</v>
      </c>
      <c r="X58" s="810"/>
      <c r="Y58" s="810">
        <f>(+Y56-$I56)/$I56</f>
        <v>0.17703581043785835</v>
      </c>
      <c r="Z58" s="810">
        <f>(+Z56-$I56)/$I56</f>
        <v>0.13928784652991338</v>
      </c>
      <c r="AA58" s="810"/>
      <c r="AB58" s="810">
        <f>(+AB56-$I56)/$I56</f>
        <v>0.18715149876651685</v>
      </c>
      <c r="AC58" s="810">
        <f>(+AC56-$I56)/$I56</f>
        <v>0.14907685895486239</v>
      </c>
      <c r="AD58" s="810"/>
    </row>
    <row r="59" spans="1:30" ht="18.5" x14ac:dyDescent="0.35">
      <c r="A59" s="801" t="s">
        <v>496</v>
      </c>
      <c r="C59" s="132"/>
      <c r="L59" s="196"/>
    </row>
    <row r="60" spans="1:30" ht="32" customHeight="1" thickBot="1" x14ac:dyDescent="0.4">
      <c r="A60" s="802"/>
      <c r="B60" s="802"/>
      <c r="C60" s="132"/>
      <c r="I60" s="802"/>
      <c r="J60" s="294"/>
      <c r="K60" s="147"/>
      <c r="L60" s="177"/>
      <c r="M60" s="294"/>
      <c r="S60" s="294"/>
      <c r="T60" s="294"/>
      <c r="U60" s="294"/>
      <c r="V60" s="294"/>
      <c r="W60" s="294"/>
      <c r="X60" s="294"/>
      <c r="Y60" s="294"/>
      <c r="Z60" s="294"/>
      <c r="AA60" s="294"/>
      <c r="AB60" s="294"/>
      <c r="AC60" s="294"/>
      <c r="AD60" s="294"/>
    </row>
    <row r="61" spans="1:30" x14ac:dyDescent="0.35">
      <c r="A61" s="800" t="s">
        <v>501</v>
      </c>
      <c r="C61" s="132"/>
      <c r="I61" s="803" t="s">
        <v>497</v>
      </c>
      <c r="J61" s="803"/>
      <c r="K61" s="803"/>
      <c r="L61" s="1035"/>
      <c r="M61" s="803"/>
      <c r="S61" s="865"/>
      <c r="T61" s="865"/>
      <c r="U61" s="865"/>
      <c r="V61" s="865"/>
      <c r="W61" s="865"/>
      <c r="X61" s="865"/>
      <c r="Y61" s="865"/>
      <c r="Z61" s="865"/>
      <c r="AA61" s="865"/>
      <c r="AB61" s="865"/>
      <c r="AC61" s="865"/>
      <c r="AD61" s="865"/>
    </row>
    <row r="62" spans="1:30" x14ac:dyDescent="0.35">
      <c r="C62" s="132"/>
      <c r="L62" s="196"/>
      <c r="S62" s="294"/>
      <c r="T62" s="294"/>
      <c r="U62" s="294"/>
      <c r="V62" s="294"/>
      <c r="W62" s="294"/>
      <c r="X62" s="294"/>
      <c r="Y62" s="294"/>
      <c r="Z62" s="294"/>
      <c r="AA62" s="294"/>
      <c r="AB62" s="294"/>
      <c r="AC62" s="294"/>
      <c r="AD62" s="294"/>
    </row>
    <row r="63" spans="1:30" ht="32" customHeight="1" thickBot="1" x14ac:dyDescent="0.4">
      <c r="A63" s="802"/>
      <c r="B63" s="802"/>
      <c r="C63" s="132"/>
      <c r="I63" s="802"/>
      <c r="J63" s="294"/>
      <c r="K63" s="147"/>
      <c r="L63" s="177"/>
      <c r="M63" s="294"/>
      <c r="S63" s="294"/>
      <c r="T63" s="294"/>
      <c r="U63" s="294"/>
      <c r="V63" s="294"/>
      <c r="W63" s="294"/>
      <c r="X63" s="294"/>
      <c r="Y63" s="294"/>
      <c r="Z63" s="294"/>
      <c r="AA63" s="294"/>
      <c r="AB63" s="294"/>
      <c r="AC63" s="294"/>
      <c r="AD63" s="294"/>
    </row>
    <row r="64" spans="1:30" x14ac:dyDescent="0.35">
      <c r="A64" s="800" t="s">
        <v>499</v>
      </c>
      <c r="C64" s="132"/>
      <c r="I64" s="803" t="s">
        <v>497</v>
      </c>
      <c r="J64" s="803"/>
      <c r="K64" s="803"/>
      <c r="L64" s="1035"/>
      <c r="M64" s="803"/>
      <c r="S64" s="865"/>
      <c r="T64" s="865"/>
      <c r="U64" s="865"/>
      <c r="V64" s="865"/>
      <c r="W64" s="865"/>
      <c r="X64" s="865"/>
      <c r="Y64" s="865"/>
      <c r="Z64" s="865"/>
      <c r="AA64" s="865"/>
      <c r="AB64" s="865"/>
      <c r="AC64" s="865"/>
      <c r="AD64" s="865"/>
    </row>
    <row r="65" spans="1:30" x14ac:dyDescent="0.35">
      <c r="C65" s="132"/>
      <c r="L65" s="196"/>
      <c r="S65" s="294"/>
      <c r="T65" s="294"/>
      <c r="U65" s="294"/>
      <c r="V65" s="294"/>
      <c r="W65" s="294"/>
      <c r="X65" s="294"/>
      <c r="Y65" s="294"/>
      <c r="Z65" s="294"/>
      <c r="AA65" s="294"/>
      <c r="AB65" s="294"/>
      <c r="AC65" s="294"/>
      <c r="AD65" s="294"/>
    </row>
    <row r="66" spans="1:30" ht="32" customHeight="1" thickBot="1" x14ac:dyDescent="0.4">
      <c r="A66" s="802"/>
      <c r="B66" s="802"/>
      <c r="C66" s="132"/>
      <c r="I66" s="802"/>
      <c r="J66" s="294"/>
      <c r="K66" s="294"/>
      <c r="L66" s="177"/>
      <c r="M66" s="294"/>
      <c r="S66" s="294"/>
      <c r="T66" s="294"/>
      <c r="U66" s="294"/>
      <c r="V66" s="294"/>
      <c r="W66" s="294"/>
      <c r="X66" s="294"/>
      <c r="Y66" s="294"/>
      <c r="Z66" s="294"/>
      <c r="AA66" s="294"/>
      <c r="AB66" s="294"/>
      <c r="AC66" s="294"/>
      <c r="AD66" s="294"/>
    </row>
    <row r="67" spans="1:30" x14ac:dyDescent="0.35">
      <c r="A67" s="800" t="s">
        <v>500</v>
      </c>
      <c r="C67" s="132"/>
      <c r="I67" s="803" t="s">
        <v>497</v>
      </c>
      <c r="J67" s="803"/>
      <c r="K67" s="803"/>
      <c r="L67" s="1035"/>
      <c r="M67" s="803"/>
      <c r="S67" s="865"/>
      <c r="T67" s="865"/>
      <c r="U67" s="865"/>
      <c r="V67" s="865"/>
      <c r="W67" s="865"/>
      <c r="X67" s="865"/>
      <c r="Y67" s="865"/>
      <c r="Z67" s="865"/>
      <c r="AA67" s="865"/>
      <c r="AB67" s="865"/>
      <c r="AC67" s="865"/>
      <c r="AD67" s="865"/>
    </row>
    <row r="68" spans="1:30" x14ac:dyDescent="0.35">
      <c r="L68" s="196"/>
      <c r="S68" s="294"/>
      <c r="T68" s="294"/>
      <c r="U68" s="294"/>
      <c r="V68" s="294"/>
      <c r="W68" s="294"/>
      <c r="X68" s="294"/>
      <c r="Y68" s="294"/>
      <c r="Z68" s="294"/>
      <c r="AA68" s="294"/>
      <c r="AB68" s="294"/>
      <c r="AC68" s="294"/>
      <c r="AD68" s="294"/>
    </row>
    <row r="69" spans="1:30" x14ac:dyDescent="0.35">
      <c r="L69" s="196"/>
      <c r="S69" s="294"/>
      <c r="T69" s="294"/>
      <c r="U69" s="294"/>
      <c r="V69" s="294"/>
      <c r="W69" s="294"/>
      <c r="X69" s="294"/>
      <c r="Y69" s="294"/>
      <c r="Z69" s="294"/>
      <c r="AA69" s="294"/>
      <c r="AB69" s="294"/>
      <c r="AC69" s="294"/>
      <c r="AD69" s="294"/>
    </row>
    <row r="70" spans="1:30" x14ac:dyDescent="0.35">
      <c r="L70" s="196"/>
      <c r="S70" s="294"/>
      <c r="T70" s="294"/>
      <c r="U70" s="294"/>
      <c r="V70" s="294"/>
      <c r="W70" s="294"/>
      <c r="X70" s="294"/>
      <c r="Y70" s="294"/>
      <c r="Z70" s="294"/>
      <c r="AA70" s="294"/>
      <c r="AB70" s="294"/>
      <c r="AC70" s="294"/>
      <c r="AD70" s="294"/>
    </row>
    <row r="71" spans="1:30" x14ac:dyDescent="0.35">
      <c r="S71" s="294"/>
      <c r="T71" s="294"/>
      <c r="U71" s="294"/>
      <c r="V71" s="294"/>
      <c r="W71" s="294"/>
      <c r="X71" s="294"/>
      <c r="Y71" s="294"/>
      <c r="Z71" s="294"/>
      <c r="AA71" s="294"/>
      <c r="AB71" s="294"/>
      <c r="AC71" s="294"/>
      <c r="AD71" s="294"/>
    </row>
    <row r="72" spans="1:30" x14ac:dyDescent="0.35">
      <c r="S72" s="294"/>
      <c r="T72" s="294"/>
      <c r="U72" s="294"/>
      <c r="V72" s="294"/>
      <c r="W72" s="294"/>
      <c r="X72" s="294"/>
      <c r="Y72" s="294"/>
      <c r="Z72" s="294"/>
      <c r="AA72" s="294"/>
      <c r="AB72" s="294"/>
      <c r="AC72" s="294"/>
      <c r="AD72" s="294"/>
    </row>
    <row r="73" spans="1:30" x14ac:dyDescent="0.35">
      <c r="S73" s="294"/>
      <c r="T73" s="294"/>
      <c r="U73" s="294"/>
      <c r="V73" s="294"/>
      <c r="W73" s="294"/>
      <c r="X73" s="294"/>
      <c r="Y73" s="294"/>
      <c r="Z73" s="294"/>
      <c r="AA73" s="294"/>
      <c r="AB73" s="294"/>
      <c r="AC73" s="294"/>
      <c r="AD73" s="294"/>
    </row>
    <row r="74" spans="1:30" x14ac:dyDescent="0.35">
      <c r="S74" s="294"/>
      <c r="T74" s="294"/>
      <c r="U74" s="294"/>
      <c r="V74" s="294"/>
      <c r="W74" s="294"/>
      <c r="X74" s="294"/>
      <c r="Y74" s="294"/>
      <c r="Z74" s="294"/>
      <c r="AA74" s="294"/>
      <c r="AB74" s="294"/>
      <c r="AC74" s="294"/>
      <c r="AD74" s="294"/>
    </row>
    <row r="75" spans="1:30" x14ac:dyDescent="0.35">
      <c r="S75" s="294"/>
      <c r="T75" s="294"/>
      <c r="U75" s="294"/>
      <c r="V75" s="294"/>
      <c r="W75" s="294"/>
      <c r="X75" s="294"/>
      <c r="Y75" s="294"/>
      <c r="Z75" s="294"/>
      <c r="AA75" s="294"/>
      <c r="AB75" s="294"/>
      <c r="AC75" s="294"/>
      <c r="AD75" s="294"/>
    </row>
    <row r="76" spans="1:30" x14ac:dyDescent="0.35">
      <c r="S76" s="294"/>
      <c r="T76" s="294"/>
      <c r="U76" s="294"/>
      <c r="V76" s="294"/>
      <c r="W76" s="294"/>
      <c r="X76" s="294"/>
      <c r="Y76" s="294"/>
      <c r="Z76" s="294"/>
      <c r="AA76" s="294"/>
      <c r="AB76" s="294"/>
      <c r="AC76" s="294"/>
      <c r="AD76" s="294"/>
    </row>
    <row r="77" spans="1:30" x14ac:dyDescent="0.35">
      <c r="S77" s="294"/>
      <c r="T77" s="294"/>
      <c r="U77" s="294"/>
      <c r="V77" s="294"/>
      <c r="W77" s="294"/>
      <c r="X77" s="294"/>
      <c r="Y77" s="294"/>
      <c r="Z77" s="294"/>
      <c r="AA77" s="294"/>
      <c r="AB77" s="294"/>
      <c r="AC77" s="294"/>
      <c r="AD77" s="294"/>
    </row>
    <row r="78" spans="1:30" x14ac:dyDescent="0.35">
      <c r="S78" s="294"/>
      <c r="T78" s="294"/>
      <c r="U78" s="294"/>
      <c r="V78" s="294"/>
      <c r="W78" s="294"/>
      <c r="X78" s="294"/>
      <c r="Y78" s="294"/>
      <c r="Z78" s="294"/>
      <c r="AA78" s="294"/>
      <c r="AB78" s="294"/>
      <c r="AC78" s="294"/>
      <c r="AD78" s="294"/>
    </row>
    <row r="79" spans="1:30" x14ac:dyDescent="0.35">
      <c r="S79" s="294"/>
      <c r="T79" s="294"/>
      <c r="U79" s="294"/>
      <c r="V79" s="294"/>
      <c r="W79" s="294"/>
      <c r="X79" s="294"/>
      <c r="Y79" s="294"/>
      <c r="Z79" s="294"/>
      <c r="AA79" s="294"/>
      <c r="AB79" s="294"/>
      <c r="AC79" s="294"/>
      <c r="AD79" s="294"/>
    </row>
    <row r="80" spans="1:30" x14ac:dyDescent="0.35">
      <c r="S80" s="294"/>
      <c r="T80" s="294"/>
      <c r="U80" s="294"/>
      <c r="V80" s="294"/>
      <c r="W80" s="294"/>
      <c r="X80" s="294"/>
      <c r="Y80" s="294"/>
      <c r="Z80" s="294"/>
      <c r="AA80" s="294"/>
      <c r="AB80" s="294"/>
      <c r="AC80" s="294"/>
      <c r="AD80" s="294"/>
    </row>
    <row r="81" spans="19:30" x14ac:dyDescent="0.35">
      <c r="S81" s="294"/>
      <c r="T81" s="294"/>
      <c r="U81" s="294"/>
      <c r="V81" s="294"/>
      <c r="W81" s="294"/>
      <c r="X81" s="294"/>
      <c r="Y81" s="294"/>
      <c r="Z81" s="294"/>
      <c r="AA81" s="294"/>
      <c r="AB81" s="294"/>
      <c r="AC81" s="294"/>
      <c r="AD81" s="294"/>
    </row>
    <row r="82" spans="19:30" x14ac:dyDescent="0.35">
      <c r="S82" s="294"/>
      <c r="T82" s="294"/>
      <c r="U82" s="294"/>
      <c r="V82" s="294"/>
      <c r="W82" s="294"/>
      <c r="X82" s="294"/>
      <c r="Y82" s="294"/>
      <c r="Z82" s="294"/>
      <c r="AA82" s="294"/>
      <c r="AB82" s="294"/>
      <c r="AC82" s="294"/>
      <c r="AD82" s="294"/>
    </row>
    <row r="83" spans="19:30" x14ac:dyDescent="0.35">
      <c r="S83" s="294"/>
      <c r="T83" s="294"/>
      <c r="U83" s="294"/>
      <c r="V83" s="294"/>
      <c r="W83" s="294"/>
      <c r="X83" s="294"/>
      <c r="Y83" s="294"/>
      <c r="Z83" s="294"/>
      <c r="AA83" s="294"/>
      <c r="AB83" s="294"/>
      <c r="AC83" s="294"/>
      <c r="AD83" s="294"/>
    </row>
    <row r="84" spans="19:30" x14ac:dyDescent="0.35">
      <c r="S84" s="294"/>
      <c r="T84" s="294"/>
      <c r="U84" s="294"/>
      <c r="V84" s="294"/>
      <c r="W84" s="294"/>
      <c r="X84" s="294"/>
      <c r="Y84" s="294"/>
      <c r="Z84" s="294"/>
      <c r="AA84" s="294"/>
      <c r="AB84" s="294"/>
      <c r="AC84" s="294"/>
      <c r="AD84" s="294"/>
    </row>
    <row r="85" spans="19:30" x14ac:dyDescent="0.35">
      <c r="S85" s="294"/>
      <c r="T85" s="294"/>
      <c r="U85" s="294"/>
      <c r="V85" s="294"/>
      <c r="W85" s="294"/>
      <c r="X85" s="294"/>
      <c r="Y85" s="294"/>
      <c r="Z85" s="294"/>
      <c r="AA85" s="294"/>
      <c r="AB85" s="294"/>
      <c r="AC85" s="294"/>
      <c r="AD85" s="294"/>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32" customWidth="1"/>
    <col min="2" max="2" width="38.453125" style="132" customWidth="1"/>
    <col min="3" max="5" width="13.90625" style="132" customWidth="1"/>
    <col min="6" max="6" width="11.08984375" style="132" bestFit="1" customWidth="1"/>
    <col min="7" max="16384" width="8.7265625" style="132"/>
  </cols>
  <sheetData>
    <row r="1" spans="1:5" ht="21" x14ac:dyDescent="0.35">
      <c r="A1" s="1166" t="s">
        <v>704</v>
      </c>
      <c r="B1" s="1166"/>
      <c r="C1" s="1166"/>
      <c r="D1" s="1166"/>
      <c r="E1" s="1166"/>
    </row>
    <row r="2" spans="1:5" s="774" customFormat="1" ht="10" customHeight="1" x14ac:dyDescent="0.35">
      <c r="C2" s="776"/>
      <c r="D2" s="1118">
        <v>0.5</v>
      </c>
      <c r="E2" s="1118">
        <v>0.75</v>
      </c>
    </row>
    <row r="3" spans="1:5" ht="37.5" customHeight="1" x14ac:dyDescent="0.35">
      <c r="C3" s="1341" t="s">
        <v>705</v>
      </c>
      <c r="D3" s="1339" t="s">
        <v>706</v>
      </c>
      <c r="E3" s="1341" t="s">
        <v>707</v>
      </c>
    </row>
    <row r="4" spans="1:5" ht="15" customHeight="1" x14ac:dyDescent="0.35">
      <c r="C4" s="1342"/>
      <c r="D4" s="1340"/>
      <c r="E4" s="1342"/>
    </row>
    <row r="5" spans="1:5" ht="14.5" customHeight="1" x14ac:dyDescent="0.35">
      <c r="A5" s="1316" t="s">
        <v>314</v>
      </c>
      <c r="B5" s="418" t="s">
        <v>37</v>
      </c>
      <c r="C5" s="539">
        <v>60000</v>
      </c>
      <c r="D5" s="412">
        <f>+ROUND($C5*D$2,0)</f>
        <v>30000</v>
      </c>
      <c r="E5" s="412">
        <f>+ROUND($C5*E$2,0)</f>
        <v>45000</v>
      </c>
    </row>
    <row r="6" spans="1:5" x14ac:dyDescent="0.35">
      <c r="A6" s="1317"/>
      <c r="B6" s="164" t="s">
        <v>156</v>
      </c>
      <c r="C6" s="415">
        <v>24000</v>
      </c>
      <c r="D6" s="863">
        <f>+ROUND($C6*D$2,0)</f>
        <v>12000</v>
      </c>
      <c r="E6" s="863">
        <f>+ROUND($C6*E$2,0)</f>
        <v>18000</v>
      </c>
    </row>
    <row r="7" spans="1:5" x14ac:dyDescent="0.35">
      <c r="A7" s="1317"/>
      <c r="B7" s="183" t="s">
        <v>178</v>
      </c>
      <c r="C7" s="390">
        <f>+C5+C6</f>
        <v>84000</v>
      </c>
      <c r="D7" s="390">
        <f>+D5+D6</f>
        <v>42000</v>
      </c>
      <c r="E7" s="390">
        <f>+E5+E6</f>
        <v>63000</v>
      </c>
    </row>
    <row r="8" spans="1:5" ht="6.5" customHeight="1" x14ac:dyDescent="0.35">
      <c r="A8" s="1317"/>
      <c r="B8" s="176"/>
      <c r="C8" s="169"/>
      <c r="D8" s="169"/>
      <c r="E8" s="169"/>
    </row>
    <row r="9" spans="1:5" x14ac:dyDescent="0.35">
      <c r="A9" s="1317"/>
      <c r="B9" s="176" t="s">
        <v>482</v>
      </c>
      <c r="C9" s="424">
        <v>7.6499999999999999E-2</v>
      </c>
      <c r="D9" s="424"/>
      <c r="E9" s="424">
        <v>7.6499999999999999E-2</v>
      </c>
    </row>
    <row r="10" spans="1:5" x14ac:dyDescent="0.35">
      <c r="A10" s="1317"/>
      <c r="B10" s="176" t="s">
        <v>272</v>
      </c>
      <c r="C10" s="188">
        <f>ROUND(+C7*C9,0)</f>
        <v>6426</v>
      </c>
      <c r="D10" s="395">
        <v>3000</v>
      </c>
      <c r="E10" s="188">
        <f>ROUND(+E7*E9,0)</f>
        <v>4820</v>
      </c>
    </row>
    <row r="11" spans="1:5" x14ac:dyDescent="0.35">
      <c r="A11" s="1318"/>
      <c r="B11" s="191" t="s">
        <v>180</v>
      </c>
      <c r="C11" s="195">
        <f>+C7+C10</f>
        <v>90426</v>
      </c>
      <c r="D11" s="195">
        <f>+D7+D10</f>
        <v>45000</v>
      </c>
      <c r="E11" s="195">
        <f>+E7+E10</f>
        <v>67820</v>
      </c>
    </row>
    <row r="12" spans="1:5" ht="8.5" customHeight="1" x14ac:dyDescent="0.35">
      <c r="B12" s="196"/>
      <c r="C12" s="196"/>
      <c r="D12" s="196"/>
      <c r="E12" s="196"/>
    </row>
    <row r="13" spans="1:5" ht="14.5" hidden="1" customHeight="1" x14ac:dyDescent="0.35">
      <c r="B13" s="162" t="s">
        <v>181</v>
      </c>
      <c r="C13" s="538">
        <v>0</v>
      </c>
      <c r="D13" s="538">
        <v>0</v>
      </c>
      <c r="E13" s="538">
        <v>0</v>
      </c>
    </row>
    <row r="14" spans="1:5" ht="14.5" hidden="1" customHeight="1" x14ac:dyDescent="0.35">
      <c r="A14" s="1032"/>
      <c r="B14" s="176" t="s">
        <v>203</v>
      </c>
      <c r="C14" s="395">
        <v>0</v>
      </c>
      <c r="D14" s="395">
        <v>0</v>
      </c>
      <c r="E14" s="395">
        <v>0</v>
      </c>
    </row>
    <row r="15" spans="1:5" ht="14.5" customHeight="1" x14ac:dyDescent="0.35">
      <c r="A15" s="1316" t="s">
        <v>161</v>
      </c>
      <c r="B15" s="1119" t="s">
        <v>712</v>
      </c>
      <c r="C15" s="538">
        <f>343*12</f>
        <v>4116</v>
      </c>
      <c r="D15" s="537">
        <f>+C15</f>
        <v>4116</v>
      </c>
      <c r="E15" s="537">
        <f>+C15</f>
        <v>4116</v>
      </c>
    </row>
    <row r="16" spans="1:5" x14ac:dyDescent="0.35">
      <c r="A16" s="1317"/>
      <c r="B16" s="433" t="s">
        <v>708</v>
      </c>
      <c r="C16" s="417">
        <f>+C$11*0.12</f>
        <v>10851.119999999999</v>
      </c>
      <c r="D16" s="417">
        <f t="shared" ref="D16:E16" si="0">+D$11*0.12</f>
        <v>5400</v>
      </c>
      <c r="E16" s="417">
        <f t="shared" si="0"/>
        <v>8138.4</v>
      </c>
    </row>
    <row r="17" spans="1:5" ht="14.5" customHeight="1" x14ac:dyDescent="0.35">
      <c r="A17" s="1317"/>
      <c r="B17" s="176" t="s">
        <v>714</v>
      </c>
      <c r="C17" s="417">
        <f>+C$11*0.009</f>
        <v>813.83399999999995</v>
      </c>
      <c r="D17" s="417">
        <f t="shared" ref="D17:E17" si="1">+D$11*0.009</f>
        <v>404.99999999999994</v>
      </c>
      <c r="E17" s="417">
        <f t="shared" si="1"/>
        <v>610.38</v>
      </c>
    </row>
    <row r="18" spans="1:5" x14ac:dyDescent="0.35">
      <c r="A18" s="1317"/>
      <c r="B18" s="176" t="s">
        <v>713</v>
      </c>
      <c r="C18" s="417">
        <f>+C$11*0.008</f>
        <v>723.40800000000002</v>
      </c>
      <c r="D18" s="417">
        <f t="shared" ref="D18:E18" si="2">+D$11*0.008</f>
        <v>360</v>
      </c>
      <c r="E18" s="417">
        <f t="shared" si="2"/>
        <v>542.56000000000006</v>
      </c>
    </row>
    <row r="19" spans="1:5" ht="14.5" customHeight="1" x14ac:dyDescent="0.35">
      <c r="A19" s="1317"/>
      <c r="B19" s="146" t="s">
        <v>710</v>
      </c>
      <c r="C19" s="392">
        <v>1200</v>
      </c>
      <c r="D19" s="417">
        <f>+$C19*D2</f>
        <v>600</v>
      </c>
      <c r="E19" s="417">
        <f>+$C19*E2</f>
        <v>900</v>
      </c>
    </row>
    <row r="20" spans="1:5" x14ac:dyDescent="0.35">
      <c r="A20" s="1318"/>
      <c r="B20" s="152" t="s">
        <v>709</v>
      </c>
      <c r="C20" s="195">
        <f>SUM(C15:C19)</f>
        <v>17704.362000000001</v>
      </c>
      <c r="D20" s="195">
        <f t="shared" ref="D20:E20" si="3">SUM(D15:D19)</f>
        <v>10881</v>
      </c>
      <c r="E20" s="195">
        <f t="shared" si="3"/>
        <v>14307.339999999998</v>
      </c>
    </row>
    <row r="21" spans="1:5" ht="7.5" customHeight="1" x14ac:dyDescent="0.35">
      <c r="C21" s="196"/>
      <c r="D21" s="196"/>
      <c r="E21" s="196"/>
    </row>
    <row r="22" spans="1:5" x14ac:dyDescent="0.35">
      <c r="B22" s="160" t="s">
        <v>711</v>
      </c>
      <c r="C22" s="394">
        <f>+C11+C20</f>
        <v>108130.36199999999</v>
      </c>
      <c r="D22" s="394">
        <f t="shared" ref="D22:E22" si="4">+D11+D20</f>
        <v>55881</v>
      </c>
      <c r="E22" s="394">
        <f t="shared" si="4"/>
        <v>82127.34</v>
      </c>
    </row>
    <row r="23" spans="1:5" x14ac:dyDescent="0.35">
      <c r="C23" s="196"/>
      <c r="D23" s="196"/>
      <c r="E23" s="196"/>
    </row>
    <row r="24" spans="1:5" x14ac:dyDescent="0.35">
      <c r="B24" s="800" t="s">
        <v>715</v>
      </c>
      <c r="C24" s="800"/>
      <c r="D24" s="1120">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66" customWidth="1"/>
    <col min="2" max="2" width="12.6328125" style="866" customWidth="1"/>
    <col min="3" max="3" width="1" style="867" customWidth="1"/>
    <col min="4" max="7" width="12.6328125" style="866" customWidth="1"/>
    <col min="8" max="8" width="1.6328125" style="866" customWidth="1"/>
    <col min="9" max="9" width="8.7265625" style="866"/>
    <col min="10" max="10" width="8.7265625" style="866" customWidth="1"/>
    <col min="11" max="16384" width="8.7265625" style="866"/>
  </cols>
  <sheetData>
    <row r="1" spans="1:10" ht="23.5" x14ac:dyDescent="0.55000000000000004">
      <c r="A1" s="1349" t="s">
        <v>532</v>
      </c>
      <c r="B1" s="1349"/>
      <c r="C1" s="1349"/>
      <c r="D1" s="1349"/>
      <c r="E1" s="1349"/>
      <c r="F1" s="1349"/>
      <c r="G1" s="1349"/>
      <c r="H1" s="1349"/>
      <c r="I1" s="1349"/>
      <c r="J1" s="1349"/>
    </row>
    <row r="2" spans="1:10" ht="19" thickBot="1" x14ac:dyDescent="0.5"/>
    <row r="3" spans="1:10" ht="19" thickBot="1" x14ac:dyDescent="0.5">
      <c r="B3" s="1353" t="s">
        <v>537</v>
      </c>
      <c r="C3" s="1354"/>
      <c r="D3" s="1354"/>
      <c r="E3" s="1354"/>
      <c r="F3" s="1354"/>
      <c r="G3" s="1355"/>
    </row>
    <row r="4" spans="1:10" ht="21" x14ac:dyDescent="0.45">
      <c r="B4" s="1351" t="s">
        <v>539</v>
      </c>
      <c r="C4" s="882"/>
      <c r="D4" s="1356" t="s">
        <v>538</v>
      </c>
      <c r="E4" s="1357"/>
      <c r="F4" s="1357"/>
      <c r="G4" s="1358"/>
      <c r="I4" s="1350" t="s">
        <v>541</v>
      </c>
      <c r="J4" s="1350"/>
    </row>
    <row r="5" spans="1:10" ht="19" customHeight="1" thickBot="1" x14ac:dyDescent="0.5">
      <c r="A5" s="889"/>
      <c r="B5" s="1352"/>
      <c r="C5" s="882"/>
      <c r="D5" s="875">
        <v>7.0000000000000007E-2</v>
      </c>
      <c r="E5" s="871">
        <v>0.08</v>
      </c>
      <c r="F5" s="871">
        <v>0.09</v>
      </c>
      <c r="G5" s="876">
        <v>0.1</v>
      </c>
      <c r="I5" s="1350"/>
      <c r="J5" s="1350"/>
    </row>
    <row r="6" spans="1:10" x14ac:dyDescent="0.45">
      <c r="A6" s="868" t="s">
        <v>533</v>
      </c>
      <c r="B6" s="873">
        <f>+ROUND('Pastor Kelly'!I56/2,0)</f>
        <v>44387</v>
      </c>
      <c r="C6" s="883"/>
      <c r="D6" s="877">
        <f>+'Pastor Kelly'!U56</f>
        <v>49703</v>
      </c>
      <c r="E6" s="870">
        <f>+'Pastor Kelly'!X56</f>
        <v>50136.5</v>
      </c>
      <c r="F6" s="870">
        <f>+'Pastor Kelly'!AA56</f>
        <v>50569.5</v>
      </c>
      <c r="G6" s="878">
        <f>+'Pastor Kelly'!AD56</f>
        <v>51003</v>
      </c>
      <c r="I6" s="1350"/>
      <c r="J6" s="1350"/>
    </row>
    <row r="7" spans="1:10" ht="19" thickBot="1" x14ac:dyDescent="0.5">
      <c r="A7" s="888" t="s">
        <v>534</v>
      </c>
      <c r="B7" s="874"/>
      <c r="C7" s="884"/>
      <c r="D7" s="879">
        <f>+D6-$B6</f>
        <v>5316</v>
      </c>
      <c r="E7" s="880">
        <f>+E6-$B6</f>
        <v>5749.5</v>
      </c>
      <c r="F7" s="880">
        <f>+F6-$B6</f>
        <v>6182.5</v>
      </c>
      <c r="G7" s="881">
        <f>+G6-$B6</f>
        <v>6616</v>
      </c>
      <c r="I7" s="1350"/>
      <c r="J7" s="1350"/>
    </row>
    <row r="8" spans="1:10" ht="19" thickBot="1" x14ac:dyDescent="0.5">
      <c r="I8" s="885"/>
      <c r="J8" s="885"/>
    </row>
    <row r="9" spans="1:10" ht="19" thickBot="1" x14ac:dyDescent="0.5">
      <c r="B9" s="1353" t="s">
        <v>81</v>
      </c>
      <c r="C9" s="1354"/>
      <c r="D9" s="1354"/>
      <c r="E9" s="1354"/>
      <c r="F9" s="1354"/>
      <c r="G9" s="1355"/>
    </row>
    <row r="10" spans="1:10" ht="21" x14ac:dyDescent="0.45">
      <c r="B10" s="1351" t="s">
        <v>539</v>
      </c>
      <c r="C10" s="882"/>
      <c r="D10" s="1356" t="s">
        <v>538</v>
      </c>
      <c r="E10" s="1357"/>
      <c r="F10" s="1357"/>
      <c r="G10" s="1358"/>
      <c r="I10" s="1350" t="s">
        <v>540</v>
      </c>
      <c r="J10" s="1350"/>
    </row>
    <row r="11" spans="1:10" ht="19" customHeight="1" thickBot="1" x14ac:dyDescent="0.5">
      <c r="A11" s="889"/>
      <c r="B11" s="1352"/>
      <c r="C11" s="882"/>
      <c r="D11" s="875">
        <v>7.0000000000000007E-2</v>
      </c>
      <c r="E11" s="871">
        <v>0.08</v>
      </c>
      <c r="F11" s="871">
        <v>0.09</v>
      </c>
      <c r="G11" s="876">
        <v>0.1</v>
      </c>
      <c r="I11" s="1350"/>
      <c r="J11" s="1350"/>
    </row>
    <row r="12" spans="1:10" x14ac:dyDescent="0.45">
      <c r="A12" s="868" t="s">
        <v>533</v>
      </c>
      <c r="B12" s="873">
        <f>+'Pastor Kelly'!I56</f>
        <v>88773</v>
      </c>
      <c r="C12" s="883"/>
      <c r="D12" s="877">
        <f>+'Pastor Kelly'!T56</f>
        <v>99404</v>
      </c>
      <c r="E12" s="870">
        <f>+'Pastor Kelly'!W56</f>
        <v>100271</v>
      </c>
      <c r="F12" s="870">
        <f>+'Pastor Kelly'!Z56</f>
        <v>101138</v>
      </c>
      <c r="G12" s="878">
        <f>+'Pastor Kelly'!AC56</f>
        <v>102007</v>
      </c>
      <c r="I12" s="1350"/>
      <c r="J12" s="1350"/>
    </row>
    <row r="13" spans="1:10" ht="19" thickBot="1" x14ac:dyDescent="0.5">
      <c r="A13" s="888" t="s">
        <v>534</v>
      </c>
      <c r="B13" s="874"/>
      <c r="C13" s="884"/>
      <c r="D13" s="879">
        <f>+D12-$B12</f>
        <v>10631</v>
      </c>
      <c r="E13" s="880">
        <f>+E12-$B12</f>
        <v>11498</v>
      </c>
      <c r="F13" s="880">
        <f>+F12-$B12</f>
        <v>12365</v>
      </c>
      <c r="G13" s="881">
        <f>+G12-$B12</f>
        <v>13234</v>
      </c>
      <c r="I13" s="1350"/>
      <c r="J13" s="1350"/>
    </row>
    <row r="14" spans="1:10" x14ac:dyDescent="0.45">
      <c r="I14" s="885"/>
      <c r="J14" s="885"/>
    </row>
    <row r="15" spans="1:10" ht="39.5" customHeight="1" x14ac:dyDescent="0.45">
      <c r="A15" s="1347" t="s">
        <v>535</v>
      </c>
      <c r="B15" s="1347"/>
      <c r="C15" s="1347"/>
      <c r="D15" s="1347"/>
      <c r="E15" s="1347"/>
      <c r="F15" s="1347"/>
      <c r="G15" s="1347"/>
      <c r="H15" s="1347"/>
      <c r="I15" s="1347"/>
      <c r="J15" s="1347"/>
    </row>
    <row r="16" spans="1:10" ht="10.5" customHeight="1" x14ac:dyDescent="0.45">
      <c r="A16" s="869"/>
      <c r="B16" s="869"/>
      <c r="C16" s="872"/>
      <c r="D16" s="869"/>
      <c r="E16" s="869"/>
      <c r="F16" s="869"/>
      <c r="G16" s="869"/>
    </row>
    <row r="17" spans="1:10" ht="39" customHeight="1" x14ac:dyDescent="0.45">
      <c r="A17" s="1348" t="s">
        <v>536</v>
      </c>
      <c r="B17" s="1348"/>
      <c r="C17" s="1348"/>
      <c r="D17" s="1348"/>
      <c r="E17" s="1348"/>
      <c r="F17" s="1348"/>
      <c r="G17" s="1348"/>
      <c r="H17" s="1348"/>
      <c r="I17" s="1348"/>
      <c r="J17" s="1348"/>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64" t="s">
        <v>582</v>
      </c>
      <c r="I2" s="1365"/>
      <c r="J2" s="1366"/>
    </row>
    <row r="3" spans="1:13" ht="30" x14ac:dyDescent="0.45">
      <c r="A3" s="939" t="s">
        <v>574</v>
      </c>
      <c r="B3" s="956" t="s">
        <v>423</v>
      </c>
      <c r="C3" s="957" t="s">
        <v>337</v>
      </c>
      <c r="D3" s="958"/>
      <c r="E3" s="1362" t="s">
        <v>580</v>
      </c>
      <c r="F3" s="1363"/>
      <c r="H3" s="942" t="s">
        <v>584</v>
      </c>
      <c r="I3" s="941" t="s">
        <v>585</v>
      </c>
      <c r="J3" s="940" t="s">
        <v>586</v>
      </c>
    </row>
    <row r="4" spans="1:13" x14ac:dyDescent="0.35">
      <c r="A4" s="959" t="s">
        <v>575</v>
      </c>
      <c r="B4" s="944">
        <v>13.33</v>
      </c>
      <c r="C4" s="944">
        <v>11.22</v>
      </c>
      <c r="D4" s="935"/>
      <c r="E4" s="944">
        <v>15</v>
      </c>
      <c r="F4" s="960">
        <v>16</v>
      </c>
      <c r="H4" s="943">
        <v>11.86</v>
      </c>
      <c r="I4" s="944">
        <v>11</v>
      </c>
      <c r="J4" s="936"/>
    </row>
    <row r="5" spans="1:13" x14ac:dyDescent="0.35">
      <c r="A5" s="961" t="s">
        <v>576</v>
      </c>
      <c r="B5" s="946">
        <v>20</v>
      </c>
      <c r="C5" s="946">
        <v>7.5</v>
      </c>
      <c r="D5" s="667"/>
      <c r="E5" s="946">
        <v>20</v>
      </c>
      <c r="F5" s="962">
        <v>20</v>
      </c>
      <c r="H5" s="945">
        <v>20</v>
      </c>
      <c r="I5" s="946">
        <v>15</v>
      </c>
      <c r="J5" s="947"/>
    </row>
    <row r="6" spans="1:13" x14ac:dyDescent="0.35">
      <c r="A6" s="963" t="s">
        <v>157</v>
      </c>
      <c r="B6" s="949">
        <f>+B4*B5*52</f>
        <v>13863.2</v>
      </c>
      <c r="C6" s="949">
        <f>+C4*C5*52</f>
        <v>4375.8</v>
      </c>
      <c r="D6" s="667"/>
      <c r="E6" s="949">
        <f>+E4*E5*52</f>
        <v>15600</v>
      </c>
      <c r="F6" s="964">
        <f>+F4*F5*52</f>
        <v>16640</v>
      </c>
      <c r="H6" s="948">
        <f>+H4*H5*52</f>
        <v>12334.4</v>
      </c>
      <c r="I6" s="949">
        <f>+I4*I5*52</f>
        <v>8580</v>
      </c>
      <c r="J6" s="947"/>
      <c r="K6" s="938"/>
    </row>
    <row r="7" spans="1:13" x14ac:dyDescent="0.35">
      <c r="A7" s="950"/>
      <c r="B7" s="667"/>
      <c r="C7" s="667"/>
      <c r="D7" s="667"/>
      <c r="E7" s="667"/>
      <c r="F7" s="947"/>
      <c r="H7" s="950"/>
      <c r="I7" s="667"/>
      <c r="J7" s="947"/>
    </row>
    <row r="8" spans="1:13" x14ac:dyDescent="0.35">
      <c r="A8" s="950" t="s">
        <v>577</v>
      </c>
      <c r="B8" s="667"/>
      <c r="C8" s="667"/>
      <c r="D8" s="965"/>
      <c r="E8" s="952"/>
      <c r="F8" s="966"/>
      <c r="H8" s="950"/>
      <c r="I8" s="667"/>
      <c r="J8" s="947"/>
      <c r="L8" s="1367" t="s">
        <v>591</v>
      </c>
      <c r="M8" s="1363"/>
    </row>
    <row r="9" spans="1:13" x14ac:dyDescent="0.35">
      <c r="A9" s="950" t="s">
        <v>578</v>
      </c>
      <c r="B9" s="952">
        <f>+B6*0.0765</f>
        <v>1060.5348000000001</v>
      </c>
      <c r="C9" s="952">
        <f>+C6*0.0765</f>
        <v>334.74869999999999</v>
      </c>
      <c r="D9" s="965"/>
      <c r="E9" s="952">
        <f>+E6*0.0765</f>
        <v>1193.4000000000001</v>
      </c>
      <c r="F9" s="966">
        <f>+F6*0.0765</f>
        <v>1272.96</v>
      </c>
      <c r="H9" s="951">
        <f>+H6*0.0765</f>
        <v>943.58159999999998</v>
      </c>
      <c r="I9" s="952">
        <f>+I6*0.0765</f>
        <v>656.37</v>
      </c>
      <c r="J9" s="947"/>
      <c r="L9" s="1359" t="s">
        <v>587</v>
      </c>
      <c r="M9" s="1360"/>
    </row>
    <row r="10" spans="1:13" x14ac:dyDescent="0.35">
      <c r="A10" s="950" t="s">
        <v>579</v>
      </c>
      <c r="B10" s="667"/>
      <c r="C10" s="667"/>
      <c r="D10" s="667"/>
      <c r="E10" s="667"/>
      <c r="F10" s="947"/>
      <c r="H10" s="950"/>
      <c r="I10" s="667"/>
      <c r="J10" s="947"/>
      <c r="L10" s="975" t="s">
        <v>588</v>
      </c>
      <c r="M10" s="976" t="s">
        <v>589</v>
      </c>
    </row>
    <row r="11" spans="1:13" x14ac:dyDescent="0.35">
      <c r="A11" s="967" t="s">
        <v>581</v>
      </c>
      <c r="B11" s="954">
        <f>+B6+B9</f>
        <v>14923.7348</v>
      </c>
      <c r="C11" s="954">
        <f>+C6+C9</f>
        <v>4710.5487000000003</v>
      </c>
      <c r="D11" s="968"/>
      <c r="E11" s="954">
        <f>+E6+E9</f>
        <v>16793.400000000001</v>
      </c>
      <c r="F11" s="955">
        <f>+F6+F9</f>
        <v>17912.96</v>
      </c>
      <c r="H11" s="953">
        <f>+H6+H9</f>
        <v>13277.981599999999</v>
      </c>
      <c r="I11" s="954">
        <f>+I6+I9</f>
        <v>9236.3700000000008</v>
      </c>
      <c r="J11" s="973">
        <f>+H11+I11</f>
        <v>22514.351600000002</v>
      </c>
      <c r="K11" s="938"/>
      <c r="L11" s="977">
        <v>8555.2900000000009</v>
      </c>
      <c r="M11" s="978">
        <v>14490.85</v>
      </c>
    </row>
    <row r="12" spans="1:13" x14ac:dyDescent="0.35">
      <c r="C12" s="969"/>
      <c r="D12" s="970" t="s">
        <v>583</v>
      </c>
      <c r="E12" s="971">
        <f>+E11-B11</f>
        <v>1869.6652000000013</v>
      </c>
      <c r="F12" s="972">
        <f>+F11-B11</f>
        <v>2989.2251999999989</v>
      </c>
      <c r="L12" s="979">
        <f>+M11-L11</f>
        <v>5935.5599999999995</v>
      </c>
      <c r="M12" s="522" t="s">
        <v>590</v>
      </c>
    </row>
    <row r="15" spans="1:13" ht="30" x14ac:dyDescent="0.45">
      <c r="A15" s="939" t="s">
        <v>210</v>
      </c>
      <c r="B15" s="956" t="s">
        <v>423</v>
      </c>
      <c r="C15" s="957" t="s">
        <v>337</v>
      </c>
      <c r="D15" s="958"/>
      <c r="E15" s="1362" t="s">
        <v>580</v>
      </c>
      <c r="F15" s="1363"/>
    </row>
    <row r="16" spans="1:13" x14ac:dyDescent="0.35">
      <c r="A16" s="959" t="s">
        <v>575</v>
      </c>
      <c r="B16" s="944">
        <v>19.93</v>
      </c>
      <c r="C16" s="944">
        <v>17.690000000000001</v>
      </c>
      <c r="D16" s="935"/>
      <c r="E16" s="944">
        <v>20.5</v>
      </c>
      <c r="F16" s="960">
        <v>21</v>
      </c>
    </row>
    <row r="17" spans="1:13" x14ac:dyDescent="0.35">
      <c r="A17" s="961" t="s">
        <v>576</v>
      </c>
      <c r="B17" s="946">
        <v>40</v>
      </c>
      <c r="C17" s="946">
        <v>40</v>
      </c>
      <c r="D17" s="667"/>
      <c r="E17" s="946">
        <v>40</v>
      </c>
      <c r="F17" s="962">
        <v>40</v>
      </c>
    </row>
    <row r="18" spans="1:13" x14ac:dyDescent="0.35">
      <c r="A18" s="963" t="s">
        <v>157</v>
      </c>
      <c r="B18" s="949">
        <f>+B16*B17*52</f>
        <v>41454.400000000001</v>
      </c>
      <c r="C18" s="949">
        <f>+C16*C17*52</f>
        <v>36795.200000000004</v>
      </c>
      <c r="D18" s="667"/>
      <c r="E18" s="949">
        <f>+E16*E17*52</f>
        <v>42640</v>
      </c>
      <c r="F18" s="964">
        <f>+F16*F17*52</f>
        <v>43680</v>
      </c>
    </row>
    <row r="19" spans="1:13" x14ac:dyDescent="0.35">
      <c r="A19" s="950"/>
      <c r="B19" s="667"/>
      <c r="C19" s="667"/>
      <c r="D19" s="667"/>
      <c r="E19" s="667"/>
      <c r="F19" s="947"/>
    </row>
    <row r="20" spans="1:13" ht="14.5" customHeight="1" x14ac:dyDescent="0.35">
      <c r="A20" s="950" t="s">
        <v>577</v>
      </c>
      <c r="B20" s="667"/>
      <c r="C20" s="667"/>
      <c r="D20" s="965"/>
      <c r="E20" s="952"/>
      <c r="F20" s="966"/>
      <c r="I20" s="1361" t="s">
        <v>592</v>
      </c>
      <c r="J20" s="1361"/>
      <c r="K20" s="1326"/>
      <c r="L20" s="1367" t="s">
        <v>210</v>
      </c>
      <c r="M20" s="1363"/>
    </row>
    <row r="21" spans="1:13" x14ac:dyDescent="0.35">
      <c r="A21" s="950" t="s">
        <v>578</v>
      </c>
      <c r="B21" s="952">
        <f>+B18*0.0765</f>
        <v>3171.2616000000003</v>
      </c>
      <c r="C21" s="952">
        <f>+C18*0.0765</f>
        <v>2814.8328000000001</v>
      </c>
      <c r="D21" s="965"/>
      <c r="E21" s="952">
        <f>+E18*0.0765</f>
        <v>3261.96</v>
      </c>
      <c r="F21" s="966">
        <f>+F18*0.0765</f>
        <v>3341.52</v>
      </c>
      <c r="I21" s="1361"/>
      <c r="J21" s="1361"/>
      <c r="K21" s="1326"/>
      <c r="L21" s="1359" t="s">
        <v>587</v>
      </c>
      <c r="M21" s="1360"/>
    </row>
    <row r="22" spans="1:13" x14ac:dyDescent="0.35">
      <c r="A22" s="950" t="s">
        <v>579</v>
      </c>
      <c r="B22" s="667"/>
      <c r="C22" s="667"/>
      <c r="D22" s="667"/>
      <c r="E22" s="667"/>
      <c r="F22" s="947"/>
      <c r="I22" s="1361"/>
      <c r="J22" s="1361"/>
      <c r="K22" s="1326"/>
      <c r="L22" s="975" t="s">
        <v>588</v>
      </c>
      <c r="M22" s="976" t="s">
        <v>589</v>
      </c>
    </row>
    <row r="23" spans="1:13" x14ac:dyDescent="0.35">
      <c r="A23" s="967" t="s">
        <v>581</v>
      </c>
      <c r="B23" s="954">
        <f>+B18+B21</f>
        <v>44625.661599999999</v>
      </c>
      <c r="C23" s="954">
        <f>+C18+C21</f>
        <v>39610.032800000001</v>
      </c>
      <c r="D23" s="968"/>
      <c r="E23" s="954">
        <f>+E18+E21</f>
        <v>45901.96</v>
      </c>
      <c r="F23" s="955">
        <f>+F18+F21</f>
        <v>47021.52</v>
      </c>
      <c r="I23" s="1361"/>
      <c r="J23" s="1361"/>
      <c r="K23" s="1326"/>
      <c r="L23" s="977">
        <v>15623.14</v>
      </c>
      <c r="M23" s="978">
        <v>17272.5</v>
      </c>
    </row>
    <row r="24" spans="1:13" x14ac:dyDescent="0.35">
      <c r="C24" s="974"/>
      <c r="D24" s="970" t="s">
        <v>583</v>
      </c>
      <c r="E24" s="971">
        <f>+E23-B23</f>
        <v>1276.2983999999997</v>
      </c>
      <c r="F24" s="972">
        <f>+F23-B23</f>
        <v>2395.8583999999973</v>
      </c>
      <c r="I24" s="1361"/>
      <c r="J24" s="1361"/>
      <c r="K24" s="1326"/>
      <c r="L24" s="979">
        <f>+M23-L23</f>
        <v>1649.3600000000006</v>
      </c>
      <c r="M24" s="522" t="s">
        <v>590</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68" t="s">
        <v>82</v>
      </c>
      <c r="C1" s="366"/>
      <c r="D1" s="366"/>
      <c r="E1" s="366"/>
    </row>
    <row r="2" spans="1:9" ht="23.25" customHeight="1" x14ac:dyDescent="0.35">
      <c r="E2" s="367" t="s">
        <v>81</v>
      </c>
    </row>
    <row r="3" spans="1:9" x14ac:dyDescent="0.35">
      <c r="E3" s="1368" t="s">
        <v>179</v>
      </c>
      <c r="F3" s="1370" t="s">
        <v>179</v>
      </c>
      <c r="G3" s="1371"/>
      <c r="H3" s="1371"/>
      <c r="I3" s="1372"/>
    </row>
    <row r="4" spans="1:9" s="2" customFormat="1" x14ac:dyDescent="0.35">
      <c r="A4" s="43"/>
      <c r="D4" s="14"/>
      <c r="E4" s="1369"/>
      <c r="F4" s="362" t="s">
        <v>258</v>
      </c>
      <c r="G4" s="363" t="s">
        <v>259</v>
      </c>
      <c r="H4" s="363" t="s">
        <v>260</v>
      </c>
      <c r="I4" s="363" t="s">
        <v>261</v>
      </c>
    </row>
    <row r="5" spans="1:9" ht="6" customHeight="1" x14ac:dyDescent="0.35">
      <c r="A5" s="42">
        <v>18</v>
      </c>
    </row>
    <row r="6" spans="1:9" ht="18.5" x14ac:dyDescent="0.35">
      <c r="A6" s="42">
        <v>20</v>
      </c>
      <c r="B6" s="6" t="s">
        <v>87</v>
      </c>
    </row>
    <row r="7" spans="1:9" s="2" customFormat="1" x14ac:dyDescent="0.35">
      <c r="A7" s="42">
        <v>26</v>
      </c>
      <c r="B7" s="11"/>
      <c r="C7" s="12" t="s">
        <v>88</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57</v>
      </c>
      <c r="C9" s="15"/>
      <c r="D9" s="14"/>
      <c r="E9" s="14"/>
    </row>
    <row r="10" spans="1:9" x14ac:dyDescent="0.35">
      <c r="A10" s="42">
        <v>29</v>
      </c>
      <c r="B10" s="2" t="s">
        <v>11</v>
      </c>
    </row>
    <row r="11" spans="1:9" x14ac:dyDescent="0.35">
      <c r="A11" s="42">
        <v>30</v>
      </c>
      <c r="C11" s="223" t="s">
        <v>79</v>
      </c>
      <c r="D11" s="235"/>
      <c r="E11" s="220">
        <v>2000</v>
      </c>
      <c r="G11" s="1">
        <v>2000</v>
      </c>
    </row>
    <row r="12" spans="1:9" x14ac:dyDescent="0.35">
      <c r="A12" s="42">
        <v>31</v>
      </c>
      <c r="C12" s="228" t="s">
        <v>12</v>
      </c>
      <c r="D12" s="238"/>
      <c r="E12" s="225">
        <v>1000</v>
      </c>
      <c r="G12" s="1">
        <v>1000</v>
      </c>
    </row>
    <row r="13" spans="1:9" x14ac:dyDescent="0.35">
      <c r="A13" s="42">
        <v>32</v>
      </c>
      <c r="C13" s="228" t="s">
        <v>176</v>
      </c>
      <c r="D13" s="238"/>
      <c r="E13" s="225">
        <v>1000</v>
      </c>
      <c r="G13" s="1">
        <v>1000</v>
      </c>
    </row>
    <row r="14" spans="1:9" x14ac:dyDescent="0.35">
      <c r="A14" s="42">
        <v>33</v>
      </c>
      <c r="C14" s="228" t="s">
        <v>13</v>
      </c>
      <c r="D14" s="238"/>
      <c r="E14" s="225">
        <v>300</v>
      </c>
      <c r="G14" s="1">
        <v>300</v>
      </c>
    </row>
    <row r="15" spans="1:9" ht="14.5" customHeight="1" x14ac:dyDescent="0.35">
      <c r="A15" s="42">
        <v>34</v>
      </c>
      <c r="C15" s="228" t="s">
        <v>14</v>
      </c>
      <c r="D15" s="238"/>
      <c r="E15" s="225">
        <v>200</v>
      </c>
      <c r="G15" s="1">
        <v>200</v>
      </c>
    </row>
    <row r="16" spans="1:9" x14ac:dyDescent="0.35">
      <c r="C16" s="228" t="s">
        <v>103</v>
      </c>
      <c r="D16" s="238"/>
      <c r="E16" s="225">
        <v>750</v>
      </c>
      <c r="G16" s="1">
        <v>750</v>
      </c>
    </row>
    <row r="17" spans="1:7" ht="14.4" customHeight="1" x14ac:dyDescent="0.35">
      <c r="A17" s="42">
        <v>35</v>
      </c>
      <c r="C17" s="233" t="s">
        <v>83</v>
      </c>
      <c r="D17" s="241"/>
      <c r="E17" s="230">
        <v>200</v>
      </c>
      <c r="G17" s="1">
        <v>200</v>
      </c>
    </row>
    <row r="18" spans="1:7" s="2" customFormat="1" x14ac:dyDescent="0.35">
      <c r="A18" s="42">
        <v>36</v>
      </c>
      <c r="B18" s="36" t="s">
        <v>15</v>
      </c>
      <c r="C18" s="36"/>
      <c r="D18" s="36"/>
      <c r="E18" s="36">
        <v>5450</v>
      </c>
    </row>
    <row r="19" spans="1:7" ht="6" customHeight="1" x14ac:dyDescent="0.35">
      <c r="A19" s="42">
        <v>37</v>
      </c>
    </row>
    <row r="20" spans="1:7" x14ac:dyDescent="0.35">
      <c r="A20" s="42">
        <v>40</v>
      </c>
      <c r="B20" s="2" t="s">
        <v>140</v>
      </c>
    </row>
    <row r="21" spans="1:7" x14ac:dyDescent="0.35">
      <c r="A21" s="42">
        <v>41</v>
      </c>
      <c r="C21" s="223" t="s">
        <v>16</v>
      </c>
      <c r="D21" s="235"/>
      <c r="E21" s="247">
        <v>4000</v>
      </c>
      <c r="F21" s="1">
        <v>4000</v>
      </c>
    </row>
    <row r="22" spans="1:7" x14ac:dyDescent="0.35">
      <c r="C22" s="228" t="s">
        <v>145</v>
      </c>
      <c r="D22" s="238"/>
      <c r="E22" s="225">
        <v>0</v>
      </c>
      <c r="F22" s="1">
        <v>0</v>
      </c>
    </row>
    <row r="23" spans="1:7" x14ac:dyDescent="0.35">
      <c r="A23" s="42">
        <v>43</v>
      </c>
      <c r="C23" s="228" t="s">
        <v>17</v>
      </c>
      <c r="D23" s="238"/>
      <c r="E23" s="225">
        <v>100</v>
      </c>
      <c r="F23" s="1">
        <v>100</v>
      </c>
    </row>
    <row r="24" spans="1:7" x14ac:dyDescent="0.35">
      <c r="A24" s="42">
        <v>44</v>
      </c>
      <c r="C24" s="233" t="s">
        <v>18</v>
      </c>
      <c r="D24" s="241"/>
      <c r="E24" s="230">
        <v>200</v>
      </c>
      <c r="F24" s="1">
        <v>200</v>
      </c>
    </row>
    <row r="25" spans="1:7" s="2" customFormat="1" x14ac:dyDescent="0.35">
      <c r="A25" s="42">
        <v>45</v>
      </c>
      <c r="B25" s="36" t="s">
        <v>141</v>
      </c>
      <c r="C25" s="36"/>
      <c r="D25" s="36"/>
      <c r="E25" s="36">
        <v>4300</v>
      </c>
    </row>
    <row r="26" spans="1:7" ht="6.75" customHeight="1" x14ac:dyDescent="0.35">
      <c r="A26" s="42">
        <v>46</v>
      </c>
      <c r="D26" s="1"/>
    </row>
    <row r="27" spans="1:7" s="2" customFormat="1" x14ac:dyDescent="0.35">
      <c r="A27" s="42">
        <v>51</v>
      </c>
      <c r="B27" s="36" t="s">
        <v>19</v>
      </c>
      <c r="C27" s="36"/>
      <c r="D27" s="36"/>
      <c r="E27" s="47">
        <v>12800</v>
      </c>
      <c r="G27" s="1">
        <v>12800</v>
      </c>
    </row>
    <row r="28" spans="1:7" ht="6.75" customHeight="1" x14ac:dyDescent="0.35">
      <c r="A28" s="42">
        <v>52</v>
      </c>
    </row>
    <row r="29" spans="1:7" x14ac:dyDescent="0.35">
      <c r="A29" s="42">
        <v>53</v>
      </c>
      <c r="B29" s="2" t="s">
        <v>89</v>
      </c>
    </row>
    <row r="30" spans="1:7" x14ac:dyDescent="0.35">
      <c r="A30" s="42">
        <v>54</v>
      </c>
      <c r="C30" s="223" t="s">
        <v>91</v>
      </c>
      <c r="D30" s="235"/>
      <c r="E30" s="220">
        <v>400</v>
      </c>
      <c r="F30" s="1">
        <v>400</v>
      </c>
    </row>
    <row r="31" spans="1:7" x14ac:dyDescent="0.35">
      <c r="A31" s="42">
        <v>55</v>
      </c>
      <c r="C31" s="233" t="s">
        <v>86</v>
      </c>
      <c r="D31" s="241"/>
      <c r="E31" s="230">
        <v>150</v>
      </c>
      <c r="F31" s="1">
        <v>150</v>
      </c>
    </row>
    <row r="32" spans="1:7" s="2" customFormat="1" x14ac:dyDescent="0.35">
      <c r="A32" s="42">
        <v>56</v>
      </c>
      <c r="B32" s="36" t="s">
        <v>85</v>
      </c>
      <c r="C32" s="36"/>
      <c r="D32" s="36"/>
      <c r="E32" s="36">
        <v>550</v>
      </c>
    </row>
    <row r="33" spans="1:8" ht="5.25" customHeight="1" x14ac:dyDescent="0.35">
      <c r="A33" s="42">
        <v>57</v>
      </c>
    </row>
    <row r="34" spans="1:8" x14ac:dyDescent="0.35">
      <c r="A34" s="42">
        <v>58</v>
      </c>
      <c r="B34" s="36" t="s">
        <v>20</v>
      </c>
      <c r="C34" s="21"/>
      <c r="D34" s="21"/>
      <c r="E34" s="52">
        <v>200</v>
      </c>
      <c r="H34" s="1">
        <v>200</v>
      </c>
    </row>
    <row r="35" spans="1:8" ht="6" customHeight="1" x14ac:dyDescent="0.35">
      <c r="A35" s="42">
        <v>59</v>
      </c>
    </row>
    <row r="36" spans="1:8" x14ac:dyDescent="0.35">
      <c r="A36" s="42">
        <v>60</v>
      </c>
      <c r="B36" s="2" t="s">
        <v>21</v>
      </c>
    </row>
    <row r="37" spans="1:8" x14ac:dyDescent="0.35">
      <c r="A37" s="42">
        <v>61</v>
      </c>
      <c r="C37" s="223" t="s">
        <v>22</v>
      </c>
      <c r="D37" s="235"/>
      <c r="E37" s="247">
        <v>200</v>
      </c>
      <c r="F37" s="1">
        <v>200</v>
      </c>
    </row>
    <row r="38" spans="1:8" x14ac:dyDescent="0.35">
      <c r="A38" s="42">
        <v>62</v>
      </c>
      <c r="C38" s="228" t="s">
        <v>23</v>
      </c>
      <c r="D38" s="238"/>
      <c r="E38" s="245">
        <v>800</v>
      </c>
      <c r="F38" s="1">
        <v>800</v>
      </c>
    </row>
    <row r="39" spans="1:8" x14ac:dyDescent="0.35">
      <c r="A39" s="42">
        <v>63</v>
      </c>
      <c r="C39" s="228" t="s">
        <v>24</v>
      </c>
      <c r="D39" s="238"/>
      <c r="E39" s="245">
        <v>1000</v>
      </c>
      <c r="H39" s="1">
        <v>1000</v>
      </c>
    </row>
    <row r="40" spans="1:8" x14ac:dyDescent="0.35">
      <c r="A40" s="42">
        <v>64</v>
      </c>
      <c r="C40" s="228" t="s">
        <v>25</v>
      </c>
      <c r="D40" s="238"/>
      <c r="E40" s="245">
        <v>3000</v>
      </c>
      <c r="H40" s="1">
        <v>3000</v>
      </c>
    </row>
    <row r="41" spans="1:8" x14ac:dyDescent="0.35">
      <c r="C41" s="228" t="s">
        <v>106</v>
      </c>
      <c r="D41" s="238"/>
      <c r="E41" s="245">
        <v>200</v>
      </c>
      <c r="F41" s="1">
        <v>200</v>
      </c>
    </row>
    <row r="42" spans="1:8" x14ac:dyDescent="0.35">
      <c r="C42" s="228" t="s">
        <v>169</v>
      </c>
      <c r="D42" s="238"/>
      <c r="E42" s="245">
        <v>0</v>
      </c>
      <c r="F42" s="1">
        <v>0</v>
      </c>
    </row>
    <row r="43" spans="1:8" x14ac:dyDescent="0.35">
      <c r="A43" s="42">
        <v>65</v>
      </c>
      <c r="C43" s="233" t="s">
        <v>111</v>
      </c>
      <c r="D43" s="241"/>
      <c r="E43" s="246">
        <v>1575</v>
      </c>
      <c r="F43" s="1">
        <v>1575</v>
      </c>
    </row>
    <row r="44" spans="1:8" s="2" customFormat="1" x14ac:dyDescent="0.35">
      <c r="A44" s="42">
        <v>66</v>
      </c>
      <c r="B44" s="36" t="s">
        <v>26</v>
      </c>
      <c r="C44" s="36"/>
      <c r="D44" s="36"/>
      <c r="E44" s="36">
        <v>6775</v>
      </c>
    </row>
    <row r="45" spans="1:8" ht="6" customHeight="1" x14ac:dyDescent="0.35">
      <c r="A45" s="42">
        <v>67</v>
      </c>
    </row>
    <row r="46" spans="1:8" x14ac:dyDescent="0.35">
      <c r="A46" s="42">
        <v>68</v>
      </c>
      <c r="B46" s="2" t="s">
        <v>27</v>
      </c>
    </row>
    <row r="47" spans="1:8" ht="14.4" customHeight="1" x14ac:dyDescent="0.35">
      <c r="A47" s="42">
        <v>69</v>
      </c>
      <c r="C47" s="223" t="s">
        <v>28</v>
      </c>
      <c r="D47" s="235"/>
      <c r="E47" s="247">
        <v>3500</v>
      </c>
      <c r="F47" s="1">
        <v>3500</v>
      </c>
    </row>
    <row r="48" spans="1:8" x14ac:dyDescent="0.35">
      <c r="A48" s="42">
        <v>70</v>
      </c>
      <c r="C48" s="228" t="s">
        <v>29</v>
      </c>
      <c r="D48" s="238"/>
      <c r="E48" s="225">
        <v>3250</v>
      </c>
      <c r="F48" s="1">
        <v>3250</v>
      </c>
    </row>
    <row r="49" spans="1:6" ht="14.5" customHeight="1" x14ac:dyDescent="0.35">
      <c r="A49" s="42">
        <v>73</v>
      </c>
      <c r="C49" s="228" t="s">
        <v>30</v>
      </c>
      <c r="D49" s="238"/>
      <c r="E49" s="245">
        <v>13000</v>
      </c>
      <c r="F49" s="1">
        <v>13000</v>
      </c>
    </row>
    <row r="50" spans="1:6" x14ac:dyDescent="0.35">
      <c r="A50" s="42">
        <v>74</v>
      </c>
      <c r="C50" s="228" t="s">
        <v>31</v>
      </c>
      <c r="D50" s="238"/>
      <c r="E50" s="245">
        <v>1000</v>
      </c>
      <c r="F50" s="1">
        <v>1000</v>
      </c>
    </row>
    <row r="51" spans="1:6" x14ac:dyDescent="0.35">
      <c r="A51" s="42">
        <v>75</v>
      </c>
      <c r="C51" s="233" t="s">
        <v>32</v>
      </c>
      <c r="D51" s="241"/>
      <c r="E51" s="246">
        <v>1700</v>
      </c>
      <c r="F51" s="1">
        <v>1700</v>
      </c>
    </row>
    <row r="52" spans="1:6" ht="14.5" customHeight="1" x14ac:dyDescent="0.35">
      <c r="A52" s="42">
        <v>73</v>
      </c>
      <c r="C52" s="228" t="s">
        <v>257</v>
      </c>
      <c r="D52" s="238"/>
      <c r="E52" s="245">
        <v>0</v>
      </c>
      <c r="F52" s="1">
        <v>0</v>
      </c>
    </row>
    <row r="53" spans="1:6" s="2" customFormat="1" x14ac:dyDescent="0.35">
      <c r="A53" s="42">
        <v>76</v>
      </c>
      <c r="B53" s="36" t="s">
        <v>34</v>
      </c>
      <c r="C53" s="36"/>
      <c r="D53" s="36"/>
      <c r="E53" s="36">
        <v>22450</v>
      </c>
    </row>
    <row r="54" spans="1:6" x14ac:dyDescent="0.35">
      <c r="A54" s="42">
        <v>77</v>
      </c>
      <c r="B54" s="36" t="s">
        <v>84</v>
      </c>
      <c r="C54" s="22"/>
      <c r="D54" s="22"/>
      <c r="E54" s="36">
        <v>52525</v>
      </c>
    </row>
    <row r="55" spans="1:6" ht="8.25" customHeight="1" x14ac:dyDescent="0.35">
      <c r="A55" s="42">
        <v>78</v>
      </c>
    </row>
    <row r="56" spans="1:6" ht="30" customHeight="1" x14ac:dyDescent="0.35">
      <c r="A56" s="42">
        <v>79</v>
      </c>
      <c r="B56" s="6" t="s">
        <v>33</v>
      </c>
    </row>
    <row r="57" spans="1:6" ht="15" customHeight="1" x14ac:dyDescent="0.35">
      <c r="A57" s="42">
        <v>80</v>
      </c>
      <c r="B57" s="2" t="s">
        <v>142</v>
      </c>
      <c r="D57" s="49" t="s">
        <v>207</v>
      </c>
    </row>
    <row r="58" spans="1:6" ht="14.5" customHeight="1" x14ac:dyDescent="0.35">
      <c r="A58" s="42">
        <v>81</v>
      </c>
      <c r="C58" s="223" t="s">
        <v>166</v>
      </c>
      <c r="D58" s="235"/>
      <c r="E58" s="253">
        <v>72737</v>
      </c>
    </row>
    <row r="59" spans="1:6" x14ac:dyDescent="0.35">
      <c r="A59" s="42">
        <v>82</v>
      </c>
      <c r="C59" s="228" t="s">
        <v>35</v>
      </c>
      <c r="D59" s="238"/>
      <c r="E59" s="261">
        <v>1500</v>
      </c>
    </row>
    <row r="60" spans="1:6" ht="14.5" customHeight="1" x14ac:dyDescent="0.35">
      <c r="C60" s="228" t="s">
        <v>100</v>
      </c>
      <c r="D60" s="238"/>
      <c r="E60" s="261">
        <v>5564.3805000000002</v>
      </c>
    </row>
    <row r="61" spans="1:6" ht="14" customHeight="1" x14ac:dyDescent="0.35">
      <c r="C61" s="228" t="s">
        <v>160</v>
      </c>
      <c r="D61" s="238"/>
      <c r="E61" s="261">
        <v>16110</v>
      </c>
    </row>
    <row r="62" spans="1:6" ht="14.4" customHeight="1" x14ac:dyDescent="0.35">
      <c r="A62" s="42">
        <v>83</v>
      </c>
      <c r="C62" s="228" t="s">
        <v>161</v>
      </c>
      <c r="D62" s="238"/>
      <c r="E62" s="261">
        <v>2662</v>
      </c>
    </row>
    <row r="63" spans="1:6" x14ac:dyDescent="0.35">
      <c r="C63" s="228" t="s">
        <v>102</v>
      </c>
      <c r="D63" s="238"/>
      <c r="E63" s="261">
        <v>600</v>
      </c>
    </row>
    <row r="64" spans="1:6" x14ac:dyDescent="0.35">
      <c r="C64" s="228" t="s">
        <v>200</v>
      </c>
      <c r="D64" s="238"/>
      <c r="E64" s="261">
        <v>480</v>
      </c>
    </row>
    <row r="65" spans="1:8" x14ac:dyDescent="0.35">
      <c r="A65" s="42">
        <v>85</v>
      </c>
      <c r="C65" s="233" t="s">
        <v>36</v>
      </c>
      <c r="D65" s="241"/>
      <c r="E65" s="275">
        <v>1000</v>
      </c>
      <c r="F65" s="364">
        <v>0.4</v>
      </c>
      <c r="G65" s="364">
        <v>0.2</v>
      </c>
      <c r="H65" s="364">
        <v>0.4</v>
      </c>
    </row>
    <row r="66" spans="1:8" s="2" customFormat="1" x14ac:dyDescent="0.35">
      <c r="A66" s="42">
        <v>86</v>
      </c>
      <c r="B66" s="23" t="s">
        <v>143</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174</v>
      </c>
      <c r="E68" s="38"/>
    </row>
    <row r="69" spans="1:8" x14ac:dyDescent="0.35">
      <c r="A69" s="42">
        <v>89</v>
      </c>
      <c r="C69" s="223" t="s">
        <v>37</v>
      </c>
      <c r="D69" s="235"/>
      <c r="E69" s="247">
        <v>45000</v>
      </c>
    </row>
    <row r="70" spans="1:8" x14ac:dyDescent="0.35">
      <c r="C70" s="228" t="s">
        <v>36</v>
      </c>
      <c r="D70" s="238"/>
      <c r="E70" s="245">
        <v>750</v>
      </c>
    </row>
    <row r="71" spans="1:8" x14ac:dyDescent="0.35">
      <c r="C71" s="228" t="s">
        <v>38</v>
      </c>
      <c r="D71" s="238"/>
      <c r="E71" s="245">
        <v>1500</v>
      </c>
    </row>
    <row r="72" spans="1:8" x14ac:dyDescent="0.35">
      <c r="C72" s="228" t="s">
        <v>200</v>
      </c>
      <c r="D72" s="238"/>
      <c r="E72" s="245">
        <v>480</v>
      </c>
    </row>
    <row r="73" spans="1:8" x14ac:dyDescent="0.35">
      <c r="C73" s="228" t="s">
        <v>102</v>
      </c>
      <c r="D73" s="238"/>
      <c r="E73" s="245">
        <v>350</v>
      </c>
    </row>
    <row r="74" spans="1:8" x14ac:dyDescent="0.35">
      <c r="A74" s="42">
        <v>90</v>
      </c>
      <c r="C74" s="233" t="s">
        <v>205</v>
      </c>
      <c r="D74" s="241"/>
      <c r="E74" s="246">
        <v>2000</v>
      </c>
      <c r="F74" s="364">
        <v>0.4</v>
      </c>
      <c r="G74" s="364">
        <v>0.4</v>
      </c>
      <c r="H74" s="364">
        <v>0.2</v>
      </c>
    </row>
    <row r="75" spans="1:8" s="2" customFormat="1" x14ac:dyDescent="0.35">
      <c r="A75" s="42">
        <v>91</v>
      </c>
      <c r="B75" s="23" t="s">
        <v>175</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153</v>
      </c>
    </row>
    <row r="79" spans="1:8" x14ac:dyDescent="0.35">
      <c r="A79" s="42">
        <v>94</v>
      </c>
      <c r="C79" s="223" t="s">
        <v>37</v>
      </c>
      <c r="D79" s="235"/>
      <c r="E79" s="253">
        <v>20808</v>
      </c>
      <c r="G79" s="1">
        <v>20808</v>
      </c>
    </row>
    <row r="80" spans="1:8" x14ac:dyDescent="0.35">
      <c r="A80" s="42">
        <v>95</v>
      </c>
      <c r="C80" s="233" t="s">
        <v>39</v>
      </c>
      <c r="D80" s="241"/>
      <c r="E80" s="275">
        <v>800</v>
      </c>
      <c r="G80" s="1">
        <v>800</v>
      </c>
    </row>
    <row r="81" spans="1:7" s="2" customFormat="1" x14ac:dyDescent="0.35">
      <c r="A81" s="42">
        <v>96</v>
      </c>
      <c r="B81" s="23" t="s">
        <v>40</v>
      </c>
      <c r="C81" s="23"/>
      <c r="D81" s="23"/>
      <c r="E81" s="23">
        <v>21608</v>
      </c>
    </row>
    <row r="82" spans="1:7" ht="6" customHeight="1" x14ac:dyDescent="0.35">
      <c r="A82" s="42">
        <v>97</v>
      </c>
    </row>
    <row r="83" spans="1:7" ht="6" customHeight="1" x14ac:dyDescent="0.35">
      <c r="A83" s="42">
        <v>106</v>
      </c>
    </row>
    <row r="84" spans="1:7" x14ac:dyDescent="0.35">
      <c r="A84" s="42">
        <v>107</v>
      </c>
      <c r="B84" s="2" t="s">
        <v>41</v>
      </c>
    </row>
    <row r="85" spans="1:7" x14ac:dyDescent="0.35">
      <c r="A85" s="42">
        <v>108</v>
      </c>
      <c r="C85" s="223" t="s">
        <v>104</v>
      </c>
      <c r="D85" s="235"/>
      <c r="E85" s="253">
        <v>15918</v>
      </c>
      <c r="F85" s="1">
        <v>15918</v>
      </c>
    </row>
    <row r="86" spans="1:7" x14ac:dyDescent="0.35">
      <c r="C86" s="223" t="s">
        <v>211</v>
      </c>
      <c r="D86" s="235"/>
      <c r="E86" s="253">
        <v>3000</v>
      </c>
      <c r="F86" s="1">
        <v>3000</v>
      </c>
    </row>
    <row r="87" spans="1:7" x14ac:dyDescent="0.35">
      <c r="A87" s="42">
        <v>109</v>
      </c>
      <c r="C87" s="228" t="s">
        <v>42</v>
      </c>
      <c r="D87" s="238"/>
      <c r="E87" s="225">
        <v>500</v>
      </c>
      <c r="F87" s="1">
        <v>500</v>
      </c>
    </row>
    <row r="88" spans="1:7" x14ac:dyDescent="0.35">
      <c r="A88" s="42">
        <v>110</v>
      </c>
      <c r="C88" s="228" t="s">
        <v>43</v>
      </c>
      <c r="D88" s="238"/>
      <c r="E88" s="261">
        <v>13290</v>
      </c>
      <c r="F88" s="1">
        <v>13290</v>
      </c>
    </row>
    <row r="89" spans="1:7" x14ac:dyDescent="0.35">
      <c r="A89" s="42">
        <v>110</v>
      </c>
      <c r="C89" s="1210" t="s">
        <v>251</v>
      </c>
      <c r="D89" s="1210"/>
      <c r="E89" s="261">
        <v>3000</v>
      </c>
      <c r="F89" s="1">
        <v>3000</v>
      </c>
    </row>
    <row r="90" spans="1:7" x14ac:dyDescent="0.35">
      <c r="C90" s="228" t="s">
        <v>249</v>
      </c>
      <c r="D90" s="238"/>
      <c r="E90" s="261">
        <v>3350</v>
      </c>
      <c r="F90" s="1">
        <v>3350</v>
      </c>
    </row>
    <row r="91" spans="1:7" x14ac:dyDescent="0.35">
      <c r="A91" s="42">
        <v>111</v>
      </c>
      <c r="C91" s="228" t="s">
        <v>44</v>
      </c>
      <c r="D91" s="238"/>
      <c r="E91" s="261">
        <v>7484</v>
      </c>
      <c r="F91" s="1">
        <v>7484</v>
      </c>
    </row>
    <row r="92" spans="1:7" x14ac:dyDescent="0.35">
      <c r="A92" s="42">
        <v>112</v>
      </c>
      <c r="C92" s="228" t="s">
        <v>45</v>
      </c>
      <c r="D92" s="238"/>
      <c r="E92" s="261">
        <v>1785</v>
      </c>
      <c r="G92" s="1">
        <v>1785</v>
      </c>
    </row>
    <row r="93" spans="1:7" x14ac:dyDescent="0.35">
      <c r="C93" s="228" t="s">
        <v>101</v>
      </c>
      <c r="D93" s="238"/>
      <c r="E93" s="245">
        <v>0</v>
      </c>
      <c r="G93" s="1">
        <v>0</v>
      </c>
    </row>
    <row r="94" spans="1:7" x14ac:dyDescent="0.35">
      <c r="A94" s="42">
        <v>113</v>
      </c>
      <c r="C94" s="233" t="s">
        <v>105</v>
      </c>
      <c r="D94" s="241"/>
      <c r="E94" s="275">
        <v>2759</v>
      </c>
      <c r="F94" s="1">
        <v>2759</v>
      </c>
    </row>
    <row r="95" spans="1:7" s="2" customFormat="1" x14ac:dyDescent="0.35">
      <c r="A95" s="42">
        <v>114</v>
      </c>
      <c r="B95" s="23" t="s">
        <v>46</v>
      </c>
      <c r="C95" s="23"/>
      <c r="D95" s="23"/>
      <c r="E95" s="23">
        <v>51086</v>
      </c>
    </row>
    <row r="96" spans="1:7" ht="6.75" customHeight="1" x14ac:dyDescent="0.35">
      <c r="A96" s="42">
        <v>115</v>
      </c>
    </row>
    <row r="97" spans="1:9" ht="14.25" customHeight="1" x14ac:dyDescent="0.35">
      <c r="A97" s="42">
        <v>116</v>
      </c>
      <c r="B97" s="2" t="s">
        <v>47</v>
      </c>
      <c r="E97" s="25"/>
      <c r="F97" s="364">
        <v>0.33300000000000002</v>
      </c>
      <c r="G97" s="364">
        <v>0.33300000000000002</v>
      </c>
      <c r="H97" s="364">
        <v>0.33400000000000002</v>
      </c>
    </row>
    <row r="98" spans="1:9" x14ac:dyDescent="0.35">
      <c r="C98" s="228" t="s">
        <v>170</v>
      </c>
      <c r="D98" s="238"/>
      <c r="E98" s="253">
        <v>35360</v>
      </c>
      <c r="F98" s="1">
        <v>11774.880000000001</v>
      </c>
      <c r="G98" s="1">
        <v>11774.880000000001</v>
      </c>
      <c r="H98" s="1">
        <v>11810.24</v>
      </c>
    </row>
    <row r="99" spans="1:9" x14ac:dyDescent="0.35">
      <c r="A99" s="42">
        <v>122</v>
      </c>
      <c r="C99" s="228" t="s">
        <v>172</v>
      </c>
      <c r="D99" s="238"/>
      <c r="E99" s="245">
        <v>1000</v>
      </c>
      <c r="F99" s="1">
        <v>333</v>
      </c>
      <c r="G99" s="1">
        <v>333</v>
      </c>
      <c r="H99" s="1">
        <v>334</v>
      </c>
    </row>
    <row r="100" spans="1:9" x14ac:dyDescent="0.35">
      <c r="A100" s="42">
        <v>118</v>
      </c>
      <c r="C100" s="228" t="s">
        <v>49</v>
      </c>
      <c r="D100" s="238"/>
      <c r="E100" s="261">
        <v>33465</v>
      </c>
      <c r="I100" s="1">
        <v>33465</v>
      </c>
    </row>
    <row r="101" spans="1:9" x14ac:dyDescent="0.35">
      <c r="A101" s="42">
        <v>119</v>
      </c>
      <c r="C101" s="228" t="s">
        <v>50</v>
      </c>
      <c r="D101" s="238"/>
      <c r="E101" s="245">
        <v>400</v>
      </c>
      <c r="F101" s="1">
        <v>133.20000000000002</v>
      </c>
      <c r="G101" s="1">
        <v>133.20000000000002</v>
      </c>
      <c r="H101" s="1">
        <v>133.6</v>
      </c>
    </row>
    <row r="102" spans="1:9" x14ac:dyDescent="0.35">
      <c r="A102" s="42">
        <v>120</v>
      </c>
      <c r="C102" s="228" t="s">
        <v>94</v>
      </c>
      <c r="D102" s="238"/>
      <c r="E102" s="245">
        <v>700</v>
      </c>
      <c r="F102" s="1">
        <v>233.10000000000002</v>
      </c>
      <c r="G102" s="1">
        <v>233.10000000000002</v>
      </c>
      <c r="H102" s="1">
        <v>233.8</v>
      </c>
    </row>
    <row r="103" spans="1:9" ht="14" customHeight="1" x14ac:dyDescent="0.35">
      <c r="C103" s="228" t="s">
        <v>110</v>
      </c>
      <c r="D103" s="238"/>
      <c r="E103" s="261">
        <v>925</v>
      </c>
      <c r="F103" s="1">
        <v>925</v>
      </c>
    </row>
    <row r="104" spans="1:9" x14ac:dyDescent="0.35">
      <c r="C104" s="1210" t="s">
        <v>171</v>
      </c>
      <c r="D104" s="1210"/>
      <c r="E104" s="286">
        <v>11138</v>
      </c>
      <c r="F104" s="1">
        <v>3708.9540000000002</v>
      </c>
      <c r="G104" s="1">
        <v>3708.9540000000002</v>
      </c>
      <c r="H104" s="1">
        <v>3720.0920000000001</v>
      </c>
    </row>
    <row r="105" spans="1:9" ht="14.5" customHeight="1" x14ac:dyDescent="0.35">
      <c r="A105" s="42">
        <v>123</v>
      </c>
      <c r="C105" s="228" t="s">
        <v>51</v>
      </c>
      <c r="D105" s="238"/>
      <c r="E105" s="261">
        <v>14502</v>
      </c>
      <c r="F105" s="1">
        <v>4829.1660000000002</v>
      </c>
      <c r="G105" s="1">
        <v>4829.1660000000002</v>
      </c>
      <c r="H105" s="1">
        <v>4843.6680000000006</v>
      </c>
    </row>
    <row r="106" spans="1:9" ht="14.4" customHeight="1" x14ac:dyDescent="0.35">
      <c r="A106" s="42">
        <v>124</v>
      </c>
      <c r="C106" s="228" t="s">
        <v>52</v>
      </c>
      <c r="D106" s="238"/>
      <c r="E106" s="245">
        <v>3384</v>
      </c>
      <c r="F106" s="1">
        <v>1126.8720000000001</v>
      </c>
      <c r="G106" s="1">
        <v>1126.8720000000001</v>
      </c>
      <c r="H106" s="1">
        <v>1130.2560000000001</v>
      </c>
    </row>
    <row r="107" spans="1:9" x14ac:dyDescent="0.35">
      <c r="A107" s="42">
        <v>125</v>
      </c>
      <c r="C107" s="228" t="s">
        <v>53</v>
      </c>
      <c r="D107" s="238"/>
      <c r="E107" s="53">
        <v>2000</v>
      </c>
      <c r="F107" s="1">
        <v>2000</v>
      </c>
    </row>
    <row r="108" spans="1:9" s="2" customFormat="1" x14ac:dyDescent="0.35">
      <c r="A108" s="42">
        <v>127</v>
      </c>
      <c r="B108" s="23" t="s">
        <v>48</v>
      </c>
      <c r="C108" s="23"/>
      <c r="D108" s="23"/>
      <c r="E108" s="23">
        <v>102874</v>
      </c>
    </row>
    <row r="109" spans="1:9" x14ac:dyDescent="0.35">
      <c r="A109" s="42">
        <v>128</v>
      </c>
      <c r="B109" s="23" t="s">
        <v>54</v>
      </c>
      <c r="C109" s="23"/>
      <c r="D109" s="23"/>
      <c r="E109" s="23">
        <v>326301.38049999997</v>
      </c>
    </row>
    <row r="110" spans="1:9" ht="8.25" customHeight="1" x14ac:dyDescent="0.35">
      <c r="A110" s="42">
        <v>129</v>
      </c>
    </row>
    <row r="111" spans="1:9" ht="18.5" x14ac:dyDescent="0.35">
      <c r="A111" s="42">
        <v>130</v>
      </c>
      <c r="B111" s="6" t="s">
        <v>55</v>
      </c>
    </row>
    <row r="112" spans="1:9" x14ac:dyDescent="0.35">
      <c r="A112" s="42">
        <v>131</v>
      </c>
      <c r="B112" s="2" t="s">
        <v>56</v>
      </c>
    </row>
    <row r="113" spans="1:9" ht="14.4" customHeight="1" x14ac:dyDescent="0.35">
      <c r="A113" s="42">
        <v>132</v>
      </c>
      <c r="C113" s="228" t="s">
        <v>58</v>
      </c>
      <c r="D113" s="238"/>
      <c r="E113" s="247">
        <v>10500</v>
      </c>
      <c r="I113" s="1">
        <v>10500</v>
      </c>
    </row>
    <row r="114" spans="1:9" ht="14.4" customHeight="1" x14ac:dyDescent="0.35">
      <c r="A114" s="42">
        <v>133</v>
      </c>
      <c r="C114" s="228" t="s">
        <v>59</v>
      </c>
      <c r="D114" s="238"/>
      <c r="E114" s="245">
        <v>8160</v>
      </c>
      <c r="I114" s="1">
        <v>8160</v>
      </c>
    </row>
    <row r="115" spans="1:9" x14ac:dyDescent="0.35">
      <c r="A115" s="42">
        <v>134</v>
      </c>
      <c r="C115" s="228" t="s">
        <v>60</v>
      </c>
      <c r="D115" s="238"/>
      <c r="E115" s="225">
        <v>4500</v>
      </c>
      <c r="I115" s="1">
        <v>4500</v>
      </c>
    </row>
    <row r="116" spans="1:9" ht="14.4" customHeight="1" x14ac:dyDescent="0.35">
      <c r="A116" s="42">
        <v>135</v>
      </c>
      <c r="C116" s="228" t="s">
        <v>61</v>
      </c>
      <c r="D116" s="238"/>
      <c r="E116" s="225">
        <v>816</v>
      </c>
      <c r="I116" s="1">
        <v>816</v>
      </c>
    </row>
    <row r="117" spans="1:9" ht="14.4" customHeight="1" x14ac:dyDescent="0.35">
      <c r="A117" s="42">
        <v>136</v>
      </c>
      <c r="C117" s="228" t="s">
        <v>62</v>
      </c>
      <c r="D117" s="238"/>
      <c r="E117" s="245">
        <v>300</v>
      </c>
      <c r="I117" s="1">
        <v>300</v>
      </c>
    </row>
    <row r="118" spans="1:9" ht="14.4" customHeight="1" x14ac:dyDescent="0.35">
      <c r="A118" s="42">
        <v>137</v>
      </c>
      <c r="C118" s="228" t="s">
        <v>63</v>
      </c>
      <c r="D118" s="238"/>
      <c r="E118" s="245">
        <v>600</v>
      </c>
      <c r="I118" s="1">
        <v>600</v>
      </c>
    </row>
    <row r="119" spans="1:9" ht="14.4" customHeight="1" x14ac:dyDescent="0.35">
      <c r="A119" s="42">
        <v>138</v>
      </c>
      <c r="C119" s="228" t="s">
        <v>99</v>
      </c>
      <c r="D119" s="238"/>
      <c r="E119" s="230">
        <v>4500</v>
      </c>
      <c r="I119" s="1">
        <v>4500</v>
      </c>
    </row>
    <row r="120" spans="1:9" s="2" customFormat="1" x14ac:dyDescent="0.35">
      <c r="A120" s="42">
        <v>139</v>
      </c>
      <c r="B120" s="26" t="s">
        <v>64</v>
      </c>
      <c r="C120" s="26"/>
      <c r="D120" s="26"/>
      <c r="E120" s="26">
        <v>29376</v>
      </c>
    </row>
    <row r="121" spans="1:9" s="2" customFormat="1" ht="6.75" customHeight="1" x14ac:dyDescent="0.35">
      <c r="A121" s="42">
        <v>140</v>
      </c>
      <c r="B121" s="14"/>
      <c r="C121" s="14"/>
      <c r="D121" s="14"/>
      <c r="E121" s="14"/>
    </row>
    <row r="122" spans="1:9" x14ac:dyDescent="0.35">
      <c r="A122" s="42">
        <v>141</v>
      </c>
      <c r="B122" s="2" t="s">
        <v>65</v>
      </c>
    </row>
    <row r="123" spans="1:9" x14ac:dyDescent="0.35">
      <c r="A123" s="42">
        <v>142</v>
      </c>
      <c r="C123" s="223" t="s">
        <v>66</v>
      </c>
      <c r="D123" s="235"/>
      <c r="E123" s="247">
        <v>16899.940000000002</v>
      </c>
      <c r="I123" s="1">
        <v>16899.940000000002</v>
      </c>
    </row>
    <row r="124" spans="1:9" x14ac:dyDescent="0.35">
      <c r="A124" s="42">
        <v>143</v>
      </c>
      <c r="C124" s="228" t="s">
        <v>67</v>
      </c>
      <c r="D124" s="238"/>
      <c r="E124" s="225">
        <v>4500</v>
      </c>
      <c r="I124" s="1">
        <v>4500</v>
      </c>
    </row>
    <row r="125" spans="1:9" x14ac:dyDescent="0.35">
      <c r="A125" s="42">
        <v>144</v>
      </c>
      <c r="C125" s="228" t="s">
        <v>92</v>
      </c>
      <c r="D125" s="238"/>
      <c r="E125" s="225">
        <v>4000</v>
      </c>
      <c r="I125" s="1">
        <v>4000</v>
      </c>
    </row>
    <row r="126" spans="1:9" x14ac:dyDescent="0.35">
      <c r="A126" s="42">
        <v>145</v>
      </c>
      <c r="C126" s="1210" t="s">
        <v>95</v>
      </c>
      <c r="D126" s="1210"/>
      <c r="E126" s="245">
        <v>8000</v>
      </c>
      <c r="I126" s="1">
        <v>8000</v>
      </c>
    </row>
    <row r="127" spans="1:9" x14ac:dyDescent="0.35">
      <c r="A127" s="42">
        <v>146</v>
      </c>
      <c r="C127" s="233" t="s">
        <v>68</v>
      </c>
      <c r="D127" s="241"/>
      <c r="E127" s="230">
        <v>8000</v>
      </c>
      <c r="I127" s="1">
        <v>8000</v>
      </c>
    </row>
    <row r="128" spans="1:9" s="2" customFormat="1" x14ac:dyDescent="0.35">
      <c r="A128" s="42">
        <v>150</v>
      </c>
      <c r="B128" s="26" t="s">
        <v>70</v>
      </c>
      <c r="C128" s="26"/>
      <c r="D128" s="26"/>
      <c r="E128" s="26">
        <v>41399.94</v>
      </c>
    </row>
    <row r="129" spans="1:9" x14ac:dyDescent="0.35">
      <c r="A129" s="42">
        <v>151</v>
      </c>
      <c r="B129" s="26" t="s">
        <v>71</v>
      </c>
      <c r="C129" s="26"/>
      <c r="D129" s="26"/>
      <c r="E129" s="26">
        <v>70775.94</v>
      </c>
    </row>
    <row r="130" spans="1:9" ht="4.5" customHeight="1" x14ac:dyDescent="0.35">
      <c r="A130" s="42">
        <v>152</v>
      </c>
    </row>
    <row r="131" spans="1:9" ht="18.5" x14ac:dyDescent="0.35">
      <c r="A131" s="42">
        <v>153</v>
      </c>
      <c r="B131" s="6" t="s">
        <v>72</v>
      </c>
    </row>
    <row r="132" spans="1:9" x14ac:dyDescent="0.35">
      <c r="A132" s="42">
        <v>154</v>
      </c>
      <c r="B132" s="2" t="s">
        <v>73</v>
      </c>
    </row>
    <row r="133" spans="1:9" x14ac:dyDescent="0.35">
      <c r="A133" s="42">
        <v>156</v>
      </c>
      <c r="C133" s="228" t="s">
        <v>139</v>
      </c>
      <c r="D133" s="238"/>
      <c r="E133" s="245">
        <v>12000</v>
      </c>
    </row>
    <row r="134" spans="1:9" x14ac:dyDescent="0.35">
      <c r="A134" s="42">
        <v>157</v>
      </c>
      <c r="C134" s="228" t="s">
        <v>144</v>
      </c>
      <c r="D134" s="238"/>
      <c r="E134" s="245">
        <v>521</v>
      </c>
    </row>
    <row r="135" spans="1:9" s="2" customFormat="1" x14ac:dyDescent="0.35">
      <c r="A135" s="42">
        <v>159</v>
      </c>
      <c r="B135" s="28" t="s">
        <v>76</v>
      </c>
      <c r="C135" s="28"/>
      <c r="D135" s="28"/>
      <c r="E135" s="28">
        <v>12521</v>
      </c>
    </row>
    <row r="136" spans="1:9" ht="7.5" customHeight="1" x14ac:dyDescent="0.35">
      <c r="A136" s="42">
        <v>160</v>
      </c>
      <c r="D136" s="1"/>
    </row>
    <row r="137" spans="1:9" x14ac:dyDescent="0.35">
      <c r="A137" s="42">
        <v>161</v>
      </c>
      <c r="B137" s="30" t="s">
        <v>77</v>
      </c>
      <c r="C137" s="31"/>
      <c r="D137" s="31"/>
      <c r="E137" s="30">
        <v>513453.32049999997</v>
      </c>
    </row>
    <row r="138" spans="1:9" x14ac:dyDescent="0.35">
      <c r="A138" s="42">
        <v>162</v>
      </c>
      <c r="B138" s="30" t="s">
        <v>78</v>
      </c>
      <c r="C138" s="31"/>
      <c r="D138" s="31"/>
      <c r="E138" s="30">
        <v>-153</v>
      </c>
    </row>
    <row r="139" spans="1:9" ht="15" thickBot="1" x14ac:dyDescent="0.4"/>
    <row r="140" spans="1:9" x14ac:dyDescent="0.35">
      <c r="B140" s="97" t="s">
        <v>154</v>
      </c>
      <c r="C140" s="98"/>
      <c r="D140" s="98"/>
      <c r="E140" s="100">
        <v>513300</v>
      </c>
    </row>
    <row r="141" spans="1:9" x14ac:dyDescent="0.35">
      <c r="B141" s="104" t="s">
        <v>146</v>
      </c>
      <c r="C141" s="92"/>
      <c r="D141" s="92"/>
      <c r="E141" s="94">
        <v>500932.32049999997</v>
      </c>
      <c r="F141" s="369">
        <v>164734.65720000005</v>
      </c>
      <c r="G141" s="369">
        <v>103945.78110000001</v>
      </c>
      <c r="H141" s="369">
        <v>128013.94220000002</v>
      </c>
      <c r="I141" s="369">
        <v>104240.94</v>
      </c>
    </row>
    <row r="142" spans="1:9" ht="15" thickBot="1" x14ac:dyDescent="0.4">
      <c r="B142" s="106" t="s">
        <v>155</v>
      </c>
      <c r="C142" s="107"/>
      <c r="D142" s="107"/>
      <c r="E142" s="110">
        <v>12367.679500000027</v>
      </c>
    </row>
    <row r="146" spans="1:4" x14ac:dyDescent="0.35">
      <c r="D146" s="70"/>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49" t="s">
        <v>82</v>
      </c>
      <c r="B1" s="1349"/>
      <c r="C1" s="1349"/>
      <c r="D1" s="1349"/>
      <c r="E1" s="1349"/>
      <c r="F1" s="1349"/>
      <c r="G1" s="1349"/>
    </row>
    <row r="4" spans="1:9" ht="29.5" customHeight="1" x14ac:dyDescent="0.35">
      <c r="C4" s="1201" t="str">
        <f>Bud_Yr&amp;" Budget"</f>
        <v>2024 Budget</v>
      </c>
      <c r="D4" s="1202" t="s">
        <v>374</v>
      </c>
      <c r="E4" s="1202" t="str">
        <f>Bud_Yr-1&amp;" Budget"</f>
        <v>2023 Budget</v>
      </c>
      <c r="F4" s="1195" t="str">
        <f>Bud_Yr&amp;" Budget vs             "&amp;Bud_Yr-1&amp;" Budget"</f>
        <v>2024 Budget vs             2023 Budget</v>
      </c>
      <c r="G4" s="1196"/>
    </row>
    <row r="5" spans="1:9" x14ac:dyDescent="0.35">
      <c r="C5" s="1373"/>
      <c r="D5" s="1189"/>
      <c r="E5" s="1374"/>
      <c r="F5" s="513" t="s">
        <v>107</v>
      </c>
      <c r="G5" s="514" t="s">
        <v>108</v>
      </c>
    </row>
    <row r="6" spans="1:9" x14ac:dyDescent="0.35">
      <c r="B6" s="515" t="s">
        <v>296</v>
      </c>
      <c r="C6" s="662">
        <f>+'New Year-Full Year'!P20</f>
        <v>17150</v>
      </c>
      <c r="D6" s="662">
        <f>+E6+1500</f>
        <v>19650</v>
      </c>
      <c r="E6" s="662">
        <f>+'New Year-Full Year'!Q20</f>
        <v>18150</v>
      </c>
      <c r="F6" s="516">
        <f>+C6-E6</f>
        <v>-1000</v>
      </c>
      <c r="G6" s="517">
        <f>IF(E6=0,"NA",(+C6-E6)/E6)</f>
        <v>-5.5096418732782371E-2</v>
      </c>
      <c r="I6" s="543"/>
    </row>
    <row r="7" spans="1:9" x14ac:dyDescent="0.35">
      <c r="B7" s="518" t="s">
        <v>297</v>
      </c>
      <c r="C7" s="261" t="e">
        <f>+'New Year-Full Year'!#REF!</f>
        <v>#REF!</v>
      </c>
      <c r="D7" s="261" t="e">
        <f>+E7</f>
        <v>#REF!</v>
      </c>
      <c r="E7" s="261" t="e">
        <f>+'New Year-Full Year'!#REF!</f>
        <v>#REF!</v>
      </c>
      <c r="F7" s="226" t="e">
        <f>+C7-E7</f>
        <v>#REF!</v>
      </c>
      <c r="G7" s="519" t="e">
        <f>IF(E7=0,"NA",(+C7-E7)/E7)</f>
        <v>#REF!</v>
      </c>
    </row>
    <row r="8" spans="1:9" x14ac:dyDescent="0.35">
      <c r="B8" s="518" t="s">
        <v>298</v>
      </c>
      <c r="C8" s="261">
        <f>+'New Year-Full Year'!P21</f>
        <v>500</v>
      </c>
      <c r="D8" s="261">
        <f>+E8+1000</f>
        <v>1500</v>
      </c>
      <c r="E8" s="261">
        <f>+'New Year-Full Year'!Q21</f>
        <v>500</v>
      </c>
      <c r="F8" s="226">
        <f t="shared" ref="F8:F14" si="0">+C8-E8</f>
        <v>0</v>
      </c>
      <c r="G8" s="519">
        <f t="shared" ref="G8:G14" si="1">IF(E8=0,"NA",(+C8-E8)/E8)</f>
        <v>0</v>
      </c>
    </row>
    <row r="9" spans="1:9" x14ac:dyDescent="0.35">
      <c r="B9" s="518" t="s">
        <v>305</v>
      </c>
      <c r="C9" s="261">
        <f>+'New Year-Full Year'!P22</f>
        <v>1500</v>
      </c>
      <c r="D9" s="261">
        <f>+E9+1000</f>
        <v>2500</v>
      </c>
      <c r="E9" s="261">
        <f>+'New Year-Full Year'!Q22</f>
        <v>1500</v>
      </c>
      <c r="F9" s="226">
        <f t="shared" si="0"/>
        <v>0</v>
      </c>
      <c r="G9" s="519">
        <f t="shared" si="1"/>
        <v>0</v>
      </c>
    </row>
    <row r="10" spans="1:9" x14ac:dyDescent="0.35">
      <c r="B10" s="518" t="s">
        <v>299</v>
      </c>
      <c r="C10" s="261">
        <f>+'New Year-Full Year'!P23</f>
        <v>750</v>
      </c>
      <c r="D10" s="261">
        <f>+E10</f>
        <v>750</v>
      </c>
      <c r="E10" s="261">
        <f>+'New Year-Full Year'!Q23</f>
        <v>750</v>
      </c>
      <c r="F10" s="226">
        <f t="shared" si="0"/>
        <v>0</v>
      </c>
      <c r="G10" s="519">
        <f t="shared" si="1"/>
        <v>0</v>
      </c>
    </row>
    <row r="11" spans="1:9" x14ac:dyDescent="0.35">
      <c r="B11" s="518" t="s">
        <v>300</v>
      </c>
      <c r="C11" s="261">
        <f>+'New Year-Full Year'!P24</f>
        <v>1000</v>
      </c>
      <c r="D11" s="261">
        <f>+E11+1000</f>
        <v>2000</v>
      </c>
      <c r="E11" s="261">
        <f>+'New Year-Full Year'!Q24</f>
        <v>1000</v>
      </c>
      <c r="F11" s="226">
        <f t="shared" si="0"/>
        <v>0</v>
      </c>
      <c r="G11" s="519">
        <f t="shared" si="1"/>
        <v>0</v>
      </c>
    </row>
    <row r="12" spans="1:9" x14ac:dyDescent="0.35">
      <c r="B12" s="518" t="s">
        <v>301</v>
      </c>
      <c r="C12" s="261">
        <f>+'New Year-Full Year'!P26</f>
        <v>1000</v>
      </c>
      <c r="D12" s="261">
        <f>+E12+500</f>
        <v>1500</v>
      </c>
      <c r="E12" s="261">
        <f>+'New Year-Full Year'!Q26</f>
        <v>1000</v>
      </c>
      <c r="F12" s="226">
        <f t="shared" si="0"/>
        <v>0</v>
      </c>
      <c r="G12" s="519">
        <f t="shared" si="1"/>
        <v>0</v>
      </c>
    </row>
    <row r="13" spans="1:9" x14ac:dyDescent="0.35">
      <c r="B13" s="518" t="s">
        <v>302</v>
      </c>
      <c r="C13" s="261">
        <f>+'New Year-Full Year'!P27</f>
        <v>1000</v>
      </c>
      <c r="D13" s="261">
        <f>+E13+1000</f>
        <v>2000</v>
      </c>
      <c r="E13" s="261">
        <f>+'New Year-Full Year'!Q27</f>
        <v>1000</v>
      </c>
      <c r="F13" s="226">
        <f t="shared" si="0"/>
        <v>0</v>
      </c>
      <c r="G13" s="519">
        <f t="shared" si="1"/>
        <v>0</v>
      </c>
    </row>
    <row r="14" spans="1:9" x14ac:dyDescent="0.35">
      <c r="B14" s="518" t="s">
        <v>303</v>
      </c>
      <c r="C14" s="261">
        <f>+'New Year-Full Year'!P28</f>
        <v>1000</v>
      </c>
      <c r="D14" s="261">
        <f>+E14+500</f>
        <v>1500</v>
      </c>
      <c r="E14" s="261">
        <f>+'New Year-Full Year'!Q28</f>
        <v>1000</v>
      </c>
      <c r="F14" s="226">
        <f t="shared" si="0"/>
        <v>0</v>
      </c>
      <c r="G14" s="519">
        <f t="shared" si="1"/>
        <v>0</v>
      </c>
    </row>
    <row r="15" spans="1:9" x14ac:dyDescent="0.35">
      <c r="B15" s="520" t="s">
        <v>157</v>
      </c>
      <c r="C15" s="665" t="e">
        <f>+SUM(C6:C14)</f>
        <v>#REF!</v>
      </c>
      <c r="D15" s="665" t="e">
        <f>+SUM(D6:D14)</f>
        <v>#REF!</v>
      </c>
      <c r="E15" s="665" t="e">
        <f>+SUM(E6:E14)</f>
        <v>#REF!</v>
      </c>
      <c r="F15" s="521" t="e">
        <f>+SUM(F6:F14)</f>
        <v>#REF!</v>
      </c>
      <c r="G15" s="522"/>
    </row>
  </sheetData>
  <mergeCells count="5">
    <mergeCell ref="C4:C5"/>
    <mergeCell ref="E4:E5"/>
    <mergeCell ref="F4:G4"/>
    <mergeCell ref="A1:G1"/>
    <mergeCell ref="D4: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74" workbookViewId="0">
      <selection activeCell="E76" sqref="E76"/>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69" t="s">
        <v>82</v>
      </c>
      <c r="C1" s="1169"/>
      <c r="D1" s="1169"/>
      <c r="E1" s="1169"/>
      <c r="F1" s="1169"/>
      <c r="G1" s="1169"/>
      <c r="H1" s="1169"/>
      <c r="I1" s="1169"/>
      <c r="J1" s="1169"/>
      <c r="K1" s="1169"/>
      <c r="L1" s="1169"/>
    </row>
    <row r="2" spans="1:12" ht="8.25" customHeight="1" x14ac:dyDescent="0.35">
      <c r="B2" s="1170"/>
      <c r="C2" s="1170"/>
      <c r="D2" s="1170"/>
      <c r="E2" s="1170"/>
      <c r="F2" s="1170"/>
      <c r="G2" s="1170"/>
      <c r="H2" s="1170"/>
      <c r="I2" s="1170"/>
      <c r="J2" s="1170"/>
      <c r="K2" s="1170"/>
      <c r="L2" s="1170"/>
    </row>
    <row r="3" spans="1:12" ht="18" customHeight="1" x14ac:dyDescent="0.35">
      <c r="E3" s="1174" t="s">
        <v>81</v>
      </c>
      <c r="F3" s="1175"/>
      <c r="G3" s="1175"/>
      <c r="H3" s="1176"/>
      <c r="J3" s="1171" t="str">
        <f>+'New Year-Full Year'!U2</f>
        <v>2023 Year to Date (YTD)</v>
      </c>
      <c r="K3" s="1172"/>
      <c r="L3" s="1173"/>
    </row>
    <row r="4" spans="1:12" ht="25.5" customHeight="1" x14ac:dyDescent="0.35">
      <c r="E4" s="1182" t="str">
        <f>+'New Year-Full Year'!P3</f>
        <v>2024 Budget</v>
      </c>
      <c r="F4" s="1180" t="str">
        <f>+'New Year-Full Year'!Q3</f>
        <v>2023 Budget</v>
      </c>
      <c r="G4" s="1178" t="str">
        <f>Bud_Yr&amp;" Budget vs "&amp;Bud_Yr-1&amp;" Budget"</f>
        <v>2024 Budget vs 2023 Budget</v>
      </c>
      <c r="H4" s="1179"/>
      <c r="J4" s="1182" t="str">
        <f>+'New Year-Full Year'!U3</f>
        <v>September 2023 YTD Actual</v>
      </c>
      <c r="K4" s="1180" t="str">
        <f>+'New Year-Full Year'!V3</f>
        <v>September 2023 YTD Budget</v>
      </c>
      <c r="L4" s="1184" t="s">
        <v>80</v>
      </c>
    </row>
    <row r="5" spans="1:12" s="2" customFormat="1" x14ac:dyDescent="0.35">
      <c r="A5" s="43"/>
      <c r="E5" s="1183"/>
      <c r="F5" s="1181"/>
      <c r="G5" s="512" t="s">
        <v>107</v>
      </c>
      <c r="H5" s="50" t="s">
        <v>108</v>
      </c>
      <c r="J5" s="1183"/>
      <c r="K5" s="1181"/>
      <c r="L5" s="1185"/>
    </row>
    <row r="6" spans="1:12" s="2" customFormat="1" ht="19.5" customHeight="1" x14ac:dyDescent="0.35">
      <c r="A6" s="43"/>
      <c r="B6" s="6" t="s">
        <v>0</v>
      </c>
      <c r="E6" s="7"/>
      <c r="F6" s="39"/>
      <c r="G6" s="39"/>
      <c r="H6" s="39"/>
      <c r="J6" s="39"/>
      <c r="K6" s="39"/>
      <c r="L6" s="39"/>
    </row>
    <row r="7" spans="1:12" ht="19.5" customHeight="1" x14ac:dyDescent="0.35">
      <c r="A7" s="42">
        <v>1</v>
      </c>
      <c r="B7" s="838" t="str">
        <f>+'New Year-Full Year'!B6</f>
        <v>Envelope Giving</v>
      </c>
    </row>
    <row r="8" spans="1:12" x14ac:dyDescent="0.35">
      <c r="A8" s="42">
        <v>2</v>
      </c>
      <c r="C8" s="1" t="str">
        <f>+'New Year-Full Year'!C7</f>
        <v>Envelope Giving (general)</v>
      </c>
      <c r="E8" s="37">
        <f>+'New Year-Full Year'!P7</f>
        <v>400000</v>
      </c>
      <c r="F8" s="37">
        <f>+'New Year-Full Year'!Q7</f>
        <v>400000</v>
      </c>
      <c r="G8" s="37">
        <f t="shared" ref="G8:G12" si="0">+E8-F8</f>
        <v>0</v>
      </c>
      <c r="H8" s="3">
        <f t="shared" ref="H8:H13" si="1">IF(F8=0,"NA",(+E8-F8)/F8)</f>
        <v>0</v>
      </c>
      <c r="J8" s="37">
        <f>+'New Year-Full Year'!U7</f>
        <v>311384.69</v>
      </c>
      <c r="K8" s="37">
        <f>+'New Year-Full Year'!V7</f>
        <v>295419.99</v>
      </c>
      <c r="L8" s="3">
        <f t="shared" ref="L8:L13" si="2">IF(K8=0,"NA",(+J8-K8)/K8)</f>
        <v>5.4040689663553278E-2</v>
      </c>
    </row>
    <row r="9" spans="1:12" x14ac:dyDescent="0.35">
      <c r="A9" s="42">
        <v>4</v>
      </c>
      <c r="C9" s="1" t="str">
        <f>+'New Year-Full Year'!C8</f>
        <v>Easter Offerings</v>
      </c>
      <c r="E9" s="37">
        <f>+'New Year-Full Year'!P8</f>
        <v>3000</v>
      </c>
      <c r="F9" s="37">
        <f>+'New Year-Full Year'!Q8</f>
        <v>3000</v>
      </c>
      <c r="G9" s="37">
        <f t="shared" si="0"/>
        <v>0</v>
      </c>
      <c r="H9" s="3">
        <f t="shared" si="1"/>
        <v>0</v>
      </c>
      <c r="J9" s="37">
        <f>+'New Year-Full Year'!U8</f>
        <v>3121</v>
      </c>
      <c r="K9" s="37">
        <f>+'New Year-Full Year'!V8</f>
        <v>3000</v>
      </c>
      <c r="L9" s="3">
        <f t="shared" si="2"/>
        <v>4.0333333333333332E-2</v>
      </c>
    </row>
    <row r="10" spans="1:12" x14ac:dyDescent="0.35">
      <c r="A10" s="42">
        <v>5</v>
      </c>
      <c r="C10" s="1" t="str">
        <f>+'New Year-Full Year'!C9</f>
        <v>Thanksgiving Offerings</v>
      </c>
      <c r="E10" s="37">
        <f>+'New Year-Full Year'!P9</f>
        <v>500</v>
      </c>
      <c r="F10" s="37">
        <f>+'New Year-Full Year'!Q9</f>
        <v>500</v>
      </c>
      <c r="G10" s="37">
        <f t="shared" si="0"/>
        <v>0</v>
      </c>
      <c r="H10" s="3">
        <f t="shared" si="1"/>
        <v>0</v>
      </c>
      <c r="J10" s="37">
        <f>+'New Year-Full Year'!U9</f>
        <v>0</v>
      </c>
      <c r="K10" s="37">
        <f>+'New Year-Full Year'!V9</f>
        <v>0</v>
      </c>
      <c r="L10" s="3" t="str">
        <f t="shared" si="2"/>
        <v>NA</v>
      </c>
    </row>
    <row r="11" spans="1:12" x14ac:dyDescent="0.35">
      <c r="A11" s="42">
        <v>6</v>
      </c>
      <c r="C11" s="1" t="str">
        <f>+'New Year-Full Year'!C10</f>
        <v>Christmas Offerings</v>
      </c>
      <c r="E11" s="37">
        <f>+'New Year-Full Year'!P10</f>
        <v>5000</v>
      </c>
      <c r="F11" s="37">
        <f>+'New Year-Full Year'!Q10</f>
        <v>5000</v>
      </c>
      <c r="G11" s="37">
        <f t="shared" si="0"/>
        <v>0</v>
      </c>
      <c r="H11" s="3">
        <f t="shared" si="1"/>
        <v>0</v>
      </c>
      <c r="J11" s="37">
        <f>+'New Year-Full Year'!U10</f>
        <v>0</v>
      </c>
      <c r="K11" s="37">
        <f>+'New Year-Full Year'!V10</f>
        <v>0</v>
      </c>
      <c r="L11" s="3" t="str">
        <f t="shared" si="2"/>
        <v>NA</v>
      </c>
    </row>
    <row r="12" spans="1:12" x14ac:dyDescent="0.35">
      <c r="A12" s="42">
        <v>7</v>
      </c>
      <c r="C12" s="1" t="str">
        <f>+'New Year-Full Year'!C11</f>
        <v>Lenten Offerings</v>
      </c>
      <c r="E12" s="37">
        <f>+'New Year-Full Year'!P11</f>
        <v>1500</v>
      </c>
      <c r="F12" s="37">
        <f>+'New Year-Full Year'!Q11</f>
        <v>1500</v>
      </c>
      <c r="G12" s="37">
        <f t="shared" si="0"/>
        <v>0</v>
      </c>
      <c r="H12" s="3">
        <f t="shared" si="1"/>
        <v>0</v>
      </c>
      <c r="J12" s="37">
        <f>+'New Year-Full Year'!U11</f>
        <v>1460</v>
      </c>
      <c r="K12" s="37">
        <f>+'New Year-Full Year'!V11</f>
        <v>1500</v>
      </c>
      <c r="L12" s="3">
        <f t="shared" si="2"/>
        <v>-2.6666666666666668E-2</v>
      </c>
    </row>
    <row r="13" spans="1:12" x14ac:dyDescent="0.35">
      <c r="A13" s="42">
        <v>8</v>
      </c>
      <c r="B13" s="9" t="str">
        <f>+'New Year-Full Year'!B12</f>
        <v>Total Envelope Giving</v>
      </c>
      <c r="C13" s="9"/>
      <c r="D13" s="9"/>
      <c r="E13" s="9">
        <f>SUM(E8:E12)</f>
        <v>410000</v>
      </c>
      <c r="F13" s="9">
        <f>SUM(F8:F12)</f>
        <v>410000</v>
      </c>
      <c r="G13" s="9">
        <f>SUM(G8:G12)</f>
        <v>0</v>
      </c>
      <c r="H13" s="10">
        <f t="shared" si="1"/>
        <v>0</v>
      </c>
      <c r="J13" s="9">
        <f>SUM(J8:J12)</f>
        <v>315965.69</v>
      </c>
      <c r="K13" s="9">
        <f>SUM(K8:K12)</f>
        <v>299919.99</v>
      </c>
      <c r="L13" s="10">
        <f t="shared" si="2"/>
        <v>5.3499935099357708E-2</v>
      </c>
    </row>
    <row r="14" spans="1:12" ht="19.5" customHeight="1" x14ac:dyDescent="0.35">
      <c r="A14" s="42">
        <v>10</v>
      </c>
      <c r="B14" s="838" t="s">
        <v>7</v>
      </c>
      <c r="H14" s="38"/>
    </row>
    <row r="15" spans="1:12" x14ac:dyDescent="0.35">
      <c r="A15" s="42">
        <v>11</v>
      </c>
      <c r="C15" s="1" t="str">
        <f>+'New Year-Full Year'!C14</f>
        <v>Loose Offerings &amp; Misc.</v>
      </c>
      <c r="E15" s="37">
        <f>+'New Year-Full Year'!P14</f>
        <v>6000</v>
      </c>
      <c r="F15" s="37">
        <f>+'New Year-Full Year'!Q14</f>
        <v>6000</v>
      </c>
      <c r="G15" s="37">
        <f>+E15-F15</f>
        <v>0</v>
      </c>
      <c r="H15" s="3">
        <f>IF(F15=0,"NA",(+E15-F15)/F15)</f>
        <v>0</v>
      </c>
      <c r="J15" s="37">
        <f>+'New Year-Full Year'!U14</f>
        <v>8196.5</v>
      </c>
      <c r="K15" s="37">
        <f>+'New Year-Full Year'!V14</f>
        <v>4500</v>
      </c>
      <c r="L15" s="3">
        <f>IF(K15=0,"NA",(+J15-K15)/K15)</f>
        <v>0.82144444444444442</v>
      </c>
    </row>
    <row r="16" spans="1:12" x14ac:dyDescent="0.35">
      <c r="A16" s="42">
        <v>15</v>
      </c>
      <c r="C16" s="1" t="str">
        <f>+'New Year-Full Year'!C15</f>
        <v>Clearing Account</v>
      </c>
      <c r="E16" s="37">
        <f>+'New Year-Full Year'!P15</f>
        <v>0</v>
      </c>
      <c r="F16" s="37">
        <f>+'New Year-Full Year'!Q15</f>
        <v>0</v>
      </c>
      <c r="G16" s="37"/>
      <c r="H16" s="3" t="str">
        <f>IF(F16=0,"NA",(+E16-F16)/F16)</f>
        <v>NA</v>
      </c>
      <c r="J16" s="37">
        <f>+'New Year-Full Year'!U15</f>
        <v>0</v>
      </c>
      <c r="K16" s="37">
        <f>+'New Year-Full Year'!V15</f>
        <v>0</v>
      </c>
      <c r="L16" s="3" t="str">
        <f>IF(K16=0,"NA",(+J16-K16)/K16)</f>
        <v>NA</v>
      </c>
    </row>
    <row r="17" spans="1:12" x14ac:dyDescent="0.35">
      <c r="A17" s="42">
        <v>16</v>
      </c>
      <c r="B17" s="9" t="str">
        <f>+'New Year-Full Year'!B16</f>
        <v>Total Misc Income</v>
      </c>
      <c r="C17" s="9"/>
      <c r="D17" s="9"/>
      <c r="E17" s="9">
        <f>SUM(E15:E16)</f>
        <v>6000</v>
      </c>
      <c r="F17" s="9">
        <f>SUM(F15:F16)</f>
        <v>6000</v>
      </c>
      <c r="G17" s="9">
        <f>SUM(G15:G16)</f>
        <v>0</v>
      </c>
      <c r="H17" s="10">
        <f>IF(F17=0,"NA",(+E17-F17)/F17)</f>
        <v>0</v>
      </c>
      <c r="J17" s="9">
        <f>SUM(J15:J16)</f>
        <v>8196.5</v>
      </c>
      <c r="K17" s="9">
        <f>SUM(K15:K16)</f>
        <v>4500</v>
      </c>
      <c r="L17" s="10">
        <f>IF(K17=0,"NA",(+J17-K17)/K17)</f>
        <v>0.82144444444444442</v>
      </c>
    </row>
    <row r="18" spans="1:12" x14ac:dyDescent="0.35">
      <c r="B18" s="9" t="str">
        <f>+'New Year-Full Year'!B17</f>
        <v>TOTAL INCOME</v>
      </c>
      <c r="C18" s="9"/>
      <c r="D18" s="9"/>
      <c r="E18" s="9">
        <f>+E13+E17</f>
        <v>416000</v>
      </c>
      <c r="F18" s="9">
        <f>+F13+F17</f>
        <v>416000</v>
      </c>
      <c r="G18" s="9">
        <f>+G13+G17</f>
        <v>0</v>
      </c>
      <c r="H18" s="10">
        <f>IF(F18=0,"NA",(+E18-F18)/F18)</f>
        <v>0</v>
      </c>
      <c r="J18" s="9">
        <f>+J13+J17</f>
        <v>324162.19</v>
      </c>
      <c r="K18" s="9">
        <f>+K13+K17</f>
        <v>304419.99</v>
      </c>
      <c r="L18" s="10">
        <f>IF(K18=0,"NA",(+J18-K18)/K18)</f>
        <v>6.4851851548907852E-2</v>
      </c>
    </row>
    <row r="19" spans="1:12" ht="23" customHeight="1" x14ac:dyDescent="0.35">
      <c r="A19" s="42">
        <v>19</v>
      </c>
      <c r="B19" s="6" t="str">
        <f>+'New Year-Full Year'!B18</f>
        <v>Expenses</v>
      </c>
      <c r="H19" s="38"/>
    </row>
    <row r="20" spans="1:12" ht="19.5" customHeight="1" x14ac:dyDescent="0.35">
      <c r="A20" s="6" t="s">
        <v>87</v>
      </c>
      <c r="B20" s="6" t="str">
        <f>+'New Year-Full Year'!B19</f>
        <v>Benevolence</v>
      </c>
      <c r="C20" s="49"/>
      <c r="H20" s="38"/>
    </row>
    <row r="21" spans="1:12" ht="14.5" customHeight="1" x14ac:dyDescent="0.35">
      <c r="A21" s="6"/>
      <c r="B21" s="1"/>
      <c r="C21" s="373" t="str">
        <f>+'New Year-Full Year'!C20</f>
        <v xml:space="preserve">Greater Milwaukee Synod </v>
      </c>
      <c r="E21" s="37">
        <f>+'New Year-Full Year'!P20</f>
        <v>17150</v>
      </c>
      <c r="F21" s="37">
        <f>+'New Year-Full Year'!Q20</f>
        <v>18150</v>
      </c>
      <c r="G21" s="37">
        <f>+E21-F21</f>
        <v>-1000</v>
      </c>
      <c r="H21" s="3">
        <f>IF(F21=0,"NA",(+E21-F21)/F21)</f>
        <v>-5.5096418732782371E-2</v>
      </c>
      <c r="J21" s="37">
        <f>+'New Year-Full Year'!U20</f>
        <v>13612.5</v>
      </c>
      <c r="K21" s="37">
        <f>+'New Year-Full Year'!V20</f>
        <v>13612.5</v>
      </c>
      <c r="L21" s="3">
        <f>IF(K21=0,"NA",(+J21-K21)/K21)</f>
        <v>0</v>
      </c>
    </row>
    <row r="22" spans="1:12" ht="14.5" hidden="1" customHeight="1" x14ac:dyDescent="0.35">
      <c r="A22" s="6"/>
      <c r="B22" s="1"/>
      <c r="C22" s="373" t="e">
        <f>+'New Year-Full Year'!#REF!</f>
        <v>#REF!</v>
      </c>
      <c r="E22" s="37" t="e">
        <f>+'New Year-Full Year'!#REF!</f>
        <v>#REF!</v>
      </c>
      <c r="F22" s="37" t="e">
        <f>+'New Year-Full Year'!#REF!</f>
        <v>#REF!</v>
      </c>
      <c r="G22" s="37" t="e">
        <f t="shared" ref="G22:G29" si="3">+E22-F22</f>
        <v>#REF!</v>
      </c>
      <c r="H22" s="3" t="e">
        <f t="shared" ref="H22:H29" si="4">IF(F22=0,"NA",(+E22-F22)/F22)</f>
        <v>#REF!</v>
      </c>
      <c r="J22" s="37" t="e">
        <f>+'New Year-Full Year'!#REF!</f>
        <v>#REF!</v>
      </c>
      <c r="K22" s="37" t="e">
        <f>+'New Year-Full Year'!#REF!</f>
        <v>#REF!</v>
      </c>
      <c r="L22" s="3" t="e">
        <f t="shared" ref="L22:L29" si="5">IF(K22=0,"NA",(+J22-K22)/K22)</f>
        <v>#REF!</v>
      </c>
    </row>
    <row r="23" spans="1:12" ht="14.5" customHeight="1" x14ac:dyDescent="0.35">
      <c r="A23" s="6"/>
      <c r="B23" s="1"/>
      <c r="C23" s="373" t="str">
        <f>+'New Year-Full Year'!C21</f>
        <v>Lutherdale Bible Camp</v>
      </c>
      <c r="E23" s="37">
        <f>+'New Year-Full Year'!P21</f>
        <v>500</v>
      </c>
      <c r="F23" s="37">
        <f>+'New Year-Full Year'!Q21</f>
        <v>500</v>
      </c>
      <c r="G23" s="37">
        <f t="shared" si="3"/>
        <v>0</v>
      </c>
      <c r="H23" s="3">
        <f t="shared" si="4"/>
        <v>0</v>
      </c>
      <c r="J23" s="37">
        <f>+'New Year-Full Year'!U21</f>
        <v>375</v>
      </c>
      <c r="K23" s="37">
        <f>+'New Year-Full Year'!V21</f>
        <v>375</v>
      </c>
      <c r="L23" s="3">
        <f t="shared" si="5"/>
        <v>0</v>
      </c>
    </row>
    <row r="24" spans="1:12" ht="14.5" customHeight="1" x14ac:dyDescent="0.35">
      <c r="A24" s="6"/>
      <c r="B24" s="1"/>
      <c r="C24" s="373" t="str">
        <f>+'New Year-Full Year'!C22</f>
        <v>Racine Cluster (Living Faith Meal)</v>
      </c>
      <c r="E24" s="37">
        <f>+'New Year-Full Year'!P22</f>
        <v>1500</v>
      </c>
      <c r="F24" s="37">
        <f>+'New Year-Full Year'!Q22</f>
        <v>1500</v>
      </c>
      <c r="G24" s="37">
        <f t="shared" si="3"/>
        <v>0</v>
      </c>
      <c r="H24" s="3">
        <f t="shared" si="4"/>
        <v>0</v>
      </c>
      <c r="J24" s="37">
        <f>+'New Year-Full Year'!U22</f>
        <v>1125</v>
      </c>
      <c r="K24" s="37">
        <f>+'New Year-Full Year'!V22</f>
        <v>1125</v>
      </c>
      <c r="L24" s="3">
        <f t="shared" si="5"/>
        <v>0</v>
      </c>
    </row>
    <row r="25" spans="1:12" ht="14.5" customHeight="1" x14ac:dyDescent="0.35">
      <c r="A25" s="6"/>
      <c r="B25" s="1"/>
      <c r="C25" s="373" t="str">
        <f>+'New Year-Full Year'!C23</f>
        <v>Racine Interfaith Coalition</v>
      </c>
      <c r="E25" s="37">
        <f>+'New Year-Full Year'!P23</f>
        <v>750</v>
      </c>
      <c r="F25" s="37">
        <f>+'New Year-Full Year'!Q23</f>
        <v>750</v>
      </c>
      <c r="G25" s="37">
        <f t="shared" si="3"/>
        <v>0</v>
      </c>
      <c r="H25" s="3">
        <f t="shared" si="4"/>
        <v>0</v>
      </c>
      <c r="J25" s="37">
        <f>+'New Year-Full Year'!U23</f>
        <v>562.5</v>
      </c>
      <c r="K25" s="37">
        <f>+'New Year-Full Year'!V23</f>
        <v>562.5</v>
      </c>
      <c r="L25" s="3">
        <f t="shared" si="5"/>
        <v>0</v>
      </c>
    </row>
    <row r="26" spans="1:12" ht="14.5" customHeight="1" x14ac:dyDescent="0.35">
      <c r="A26" s="6"/>
      <c r="B26" s="1"/>
      <c r="C26" s="373" t="str">
        <f>+'New Year-Full Year'!C24</f>
        <v>Good Samaritan</v>
      </c>
      <c r="E26" s="37">
        <f>+'New Year-Full Year'!P24</f>
        <v>1000</v>
      </c>
      <c r="F26" s="37">
        <f>+'New Year-Full Year'!Q24</f>
        <v>1000</v>
      </c>
      <c r="G26" s="37">
        <f t="shared" si="3"/>
        <v>0</v>
      </c>
      <c r="H26" s="3">
        <f t="shared" si="4"/>
        <v>0</v>
      </c>
      <c r="J26" s="37">
        <f>+'New Year-Full Year'!U24</f>
        <v>750</v>
      </c>
      <c r="K26" s="37">
        <f>+'New Year-Full Year'!V24</f>
        <v>750</v>
      </c>
      <c r="L26" s="3">
        <f t="shared" si="5"/>
        <v>0</v>
      </c>
    </row>
    <row r="27" spans="1:12" ht="14.5" customHeight="1" x14ac:dyDescent="0.35">
      <c r="A27" s="6"/>
      <c r="B27" s="1"/>
      <c r="C27" s="373" t="str">
        <f>+'New Year-Full Year'!C26</f>
        <v>HALO</v>
      </c>
      <c r="E27" s="37">
        <f>+'New Year-Full Year'!P26</f>
        <v>1000</v>
      </c>
      <c r="F27" s="37">
        <f>+'New Year-Full Year'!Q26</f>
        <v>1000</v>
      </c>
      <c r="G27" s="37">
        <f t="shared" si="3"/>
        <v>0</v>
      </c>
      <c r="H27" s="3">
        <f t="shared" si="4"/>
        <v>0</v>
      </c>
      <c r="J27" s="37">
        <f>+'New Year-Full Year'!U26</f>
        <v>750</v>
      </c>
      <c r="K27" s="37">
        <f>+'New Year-Full Year'!V26</f>
        <v>750</v>
      </c>
      <c r="L27" s="3">
        <f t="shared" si="5"/>
        <v>0</v>
      </c>
    </row>
    <row r="28" spans="1:12" ht="14.5" customHeight="1" x14ac:dyDescent="0.35">
      <c r="A28" s="6"/>
      <c r="B28" s="1"/>
      <c r="C28" s="373" t="str">
        <f>+'New Year-Full Year'!C27</f>
        <v>Veterans Tiny Homes</v>
      </c>
      <c r="E28" s="37">
        <f>+'New Year-Full Year'!P27</f>
        <v>1000</v>
      </c>
      <c r="F28" s="37">
        <f>+'New Year-Full Year'!Q27</f>
        <v>1000</v>
      </c>
      <c r="G28" s="37">
        <f t="shared" si="3"/>
        <v>0</v>
      </c>
      <c r="H28" s="3">
        <f t="shared" si="4"/>
        <v>0</v>
      </c>
      <c r="J28" s="37">
        <f>+'New Year-Full Year'!U27</f>
        <v>750</v>
      </c>
      <c r="K28" s="37">
        <f>+'New Year-Full Year'!V27</f>
        <v>750</v>
      </c>
      <c r="L28" s="3">
        <f t="shared" si="5"/>
        <v>0</v>
      </c>
    </row>
    <row r="29" spans="1:12" ht="14.5" customHeight="1" x14ac:dyDescent="0.35">
      <c r="A29" s="6"/>
      <c r="B29" s="1"/>
      <c r="C29" s="373" t="str">
        <f>+'New Year-Full Year'!C28</f>
        <v>Hospitality Center</v>
      </c>
      <c r="E29" s="37">
        <f>+'New Year-Full Year'!P28</f>
        <v>1000</v>
      </c>
      <c r="F29" s="37">
        <f>+'New Year-Full Year'!Q28</f>
        <v>1000</v>
      </c>
      <c r="G29" s="37">
        <f t="shared" si="3"/>
        <v>0</v>
      </c>
      <c r="H29" s="3">
        <f t="shared" si="4"/>
        <v>0</v>
      </c>
      <c r="J29" s="37">
        <f>+'New Year-Full Year'!U28</f>
        <v>750</v>
      </c>
      <c r="K29" s="37">
        <f>+'New Year-Full Year'!V28</f>
        <v>750</v>
      </c>
      <c r="L29" s="3">
        <f t="shared" si="5"/>
        <v>0</v>
      </c>
    </row>
    <row r="30" spans="1:12" s="2" customFormat="1" x14ac:dyDescent="0.35">
      <c r="A30" s="42">
        <v>26</v>
      </c>
      <c r="B30" s="11"/>
      <c r="C30" s="11" t="str">
        <f>+'New Year-Full Year'!C29</f>
        <v>6% Benevolence Budget  5.8% Actual YTD</v>
      </c>
      <c r="D30" s="11"/>
      <c r="E30" s="11" t="e">
        <f>SUM(E21:E29)</f>
        <v>#REF!</v>
      </c>
      <c r="F30" s="11" t="e">
        <f>SUM(F21:F29)</f>
        <v>#REF!</v>
      </c>
      <c r="G30" s="11" t="e">
        <f>+E30-F30</f>
        <v>#REF!</v>
      </c>
      <c r="H30" s="13" t="e">
        <f>IF(F30=0,"NA",(+E30-F30)/F30)</f>
        <v>#REF!</v>
      </c>
      <c r="I30" s="1"/>
      <c r="J30" s="11" t="e">
        <f>SUM(J21:J29)</f>
        <v>#REF!</v>
      </c>
      <c r="K30" s="11" t="e">
        <f>SUM(K21:K29)</f>
        <v>#REF!</v>
      </c>
      <c r="L30" s="13" t="e">
        <f>IF(K30=0,"NA",(+J30-K30)/K30)</f>
        <v>#REF!</v>
      </c>
    </row>
    <row r="31" spans="1:12" s="2" customFormat="1" ht="19.5" customHeight="1" x14ac:dyDescent="0.35">
      <c r="A31" s="42">
        <v>28</v>
      </c>
      <c r="B31" s="18" t="s">
        <v>57</v>
      </c>
      <c r="C31" s="15"/>
      <c r="D31" s="14"/>
      <c r="E31" s="855"/>
      <c r="F31" s="855"/>
      <c r="G31" s="16"/>
      <c r="H31" s="17"/>
      <c r="I31" s="14"/>
      <c r="J31" s="855"/>
      <c r="K31" s="855"/>
      <c r="L31" s="17"/>
    </row>
    <row r="32" spans="1:12" ht="19.5" customHeight="1" x14ac:dyDescent="0.35">
      <c r="A32" s="42">
        <v>29</v>
      </c>
      <c r="B32" s="1177" t="str">
        <f>+'New Year-Full Year'!B31</f>
        <v>Parish Ed</v>
      </c>
      <c r="C32" s="1177"/>
      <c r="D32" s="1177"/>
      <c r="H32" s="38"/>
    </row>
    <row r="33" spans="1:12" x14ac:dyDescent="0.35">
      <c r="A33" s="42">
        <v>30</v>
      </c>
      <c r="C33" s="1" t="str">
        <f>+'New Year-Full Year'!C32</f>
        <v>Sunday School</v>
      </c>
      <c r="E33" s="37">
        <f>+'New Year-Full Year'!P32</f>
        <v>1250</v>
      </c>
      <c r="F33" s="37">
        <f>+'New Year-Full Year'!Q32</f>
        <v>1250</v>
      </c>
      <c r="G33" s="37">
        <f t="shared" ref="G33:G38" si="6">+E33-F33</f>
        <v>0</v>
      </c>
      <c r="H33" s="3">
        <f t="shared" ref="H33:H39" si="7">IF(F33=0,"NA",(+E33-F33)/F33)</f>
        <v>0</v>
      </c>
      <c r="J33" s="37">
        <f>+'New Year-Full Year'!U32</f>
        <v>283.43</v>
      </c>
      <c r="K33" s="37">
        <f>+'New Year-Full Year'!V32</f>
        <v>833.33</v>
      </c>
      <c r="L33" s="3">
        <f t="shared" ref="L33:L39" si="8">IF(K33=0,"NA",(+J33-K33)/K33)</f>
        <v>-0.65988263953055815</v>
      </c>
    </row>
    <row r="34" spans="1:12" x14ac:dyDescent="0.35">
      <c r="A34" s="42">
        <v>31</v>
      </c>
      <c r="C34" s="1" t="str">
        <f>+'New Year-Full Year'!C33</f>
        <v>Confirmation</v>
      </c>
      <c r="E34" s="37">
        <f>+'New Year-Full Year'!P33</f>
        <v>750</v>
      </c>
      <c r="F34" s="37">
        <f>+'New Year-Full Year'!Q33</f>
        <v>750</v>
      </c>
      <c r="G34" s="37">
        <f t="shared" si="6"/>
        <v>0</v>
      </c>
      <c r="H34" s="3">
        <f t="shared" si="7"/>
        <v>0</v>
      </c>
      <c r="J34" s="37">
        <f>+'New Year-Full Year'!U33</f>
        <v>103.1</v>
      </c>
      <c r="K34" s="37">
        <f>+'New Year-Full Year'!V33</f>
        <v>750</v>
      </c>
      <c r="L34" s="3">
        <f t="shared" si="8"/>
        <v>-0.86253333333333326</v>
      </c>
    </row>
    <row r="35" spans="1:12" x14ac:dyDescent="0.35">
      <c r="A35" s="42">
        <v>32</v>
      </c>
      <c r="C35" s="1" t="str">
        <f>+'New Year-Full Year'!C34</f>
        <v>Neighborhood Camp</v>
      </c>
      <c r="E35" s="37">
        <f>+'New Year-Full Year'!P34</f>
        <v>250</v>
      </c>
      <c r="F35" s="37">
        <f>+'New Year-Full Year'!Q34</f>
        <v>250</v>
      </c>
      <c r="G35" s="37">
        <f t="shared" si="6"/>
        <v>0</v>
      </c>
      <c r="H35" s="3">
        <f t="shared" si="7"/>
        <v>0</v>
      </c>
      <c r="J35" s="37">
        <f>+'New Year-Full Year'!U34</f>
        <v>250</v>
      </c>
      <c r="K35" s="37">
        <f>+'New Year-Full Year'!V34</f>
        <v>250</v>
      </c>
      <c r="L35" s="3">
        <f t="shared" si="8"/>
        <v>0</v>
      </c>
    </row>
    <row r="36" spans="1:12" x14ac:dyDescent="0.35">
      <c r="A36" s="42">
        <v>33</v>
      </c>
      <c r="C36" s="1" t="str">
        <f>+'New Year-Full Year'!C35</f>
        <v>Library</v>
      </c>
      <c r="E36" s="37">
        <f>+'New Year-Full Year'!P35</f>
        <v>300</v>
      </c>
      <c r="F36" s="37">
        <f>+'New Year-Full Year'!Q35</f>
        <v>300</v>
      </c>
      <c r="G36" s="37">
        <f t="shared" si="6"/>
        <v>0</v>
      </c>
      <c r="H36" s="3">
        <f t="shared" si="7"/>
        <v>0</v>
      </c>
      <c r="J36" s="37">
        <f>+'New Year-Full Year'!U35</f>
        <v>0</v>
      </c>
      <c r="K36" s="37">
        <f>+'New Year-Full Year'!V35</f>
        <v>0</v>
      </c>
      <c r="L36" s="3" t="str">
        <f t="shared" si="8"/>
        <v>NA</v>
      </c>
    </row>
    <row r="37" spans="1:12" x14ac:dyDescent="0.35">
      <c r="A37" s="42">
        <v>34</v>
      </c>
      <c r="C37" s="1" t="str">
        <f>+'New Year-Full Year'!C36</f>
        <v>Communion Education</v>
      </c>
      <c r="E37" s="37">
        <f>+'New Year-Full Year'!P36</f>
        <v>200</v>
      </c>
      <c r="F37" s="37">
        <f>+'New Year-Full Year'!Q36</f>
        <v>200</v>
      </c>
      <c r="G37" s="37">
        <f t="shared" si="6"/>
        <v>0</v>
      </c>
      <c r="H37" s="3">
        <f t="shared" si="7"/>
        <v>0</v>
      </c>
      <c r="J37" s="37">
        <f>+'New Year-Full Year'!U36</f>
        <v>62.06</v>
      </c>
      <c r="K37" s="37">
        <f>+'New Year-Full Year'!V36</f>
        <v>200</v>
      </c>
      <c r="L37" s="3">
        <f t="shared" si="8"/>
        <v>-0.68969999999999998</v>
      </c>
    </row>
    <row r="38" spans="1:12" x14ac:dyDescent="0.35">
      <c r="C38" s="1" t="str">
        <f>+'New Year-Full Year'!C37</f>
        <v>Adult Education</v>
      </c>
      <c r="E38" s="37">
        <f>+'New Year-Full Year'!P37</f>
        <v>800</v>
      </c>
      <c r="F38" s="37">
        <f>+'New Year-Full Year'!Q37</f>
        <v>400</v>
      </c>
      <c r="G38" s="37">
        <f t="shared" si="6"/>
        <v>400</v>
      </c>
      <c r="H38" s="3">
        <f t="shared" si="7"/>
        <v>1</v>
      </c>
      <c r="J38" s="37">
        <f>+'New Year-Full Year'!U37</f>
        <v>-120</v>
      </c>
      <c r="K38" s="37">
        <f>+'New Year-Full Year'!V37</f>
        <v>299.97000000000003</v>
      </c>
      <c r="L38" s="3">
        <f>IF(K38=0,"NA",(+J38-K38)/K38)</f>
        <v>-1.4000400040004</v>
      </c>
    </row>
    <row r="39" spans="1:12" s="2" customFormat="1" x14ac:dyDescent="0.35">
      <c r="A39" s="42">
        <v>36</v>
      </c>
      <c r="B39" s="36" t="str">
        <f>+'New Year-Full Year'!B38</f>
        <v>Total Parish Ed</v>
      </c>
      <c r="C39" s="36"/>
      <c r="D39" s="36"/>
      <c r="E39" s="36">
        <f>SUM(E33:E38)</f>
        <v>3550</v>
      </c>
      <c r="F39" s="36">
        <f>SUM(F33:F38)</f>
        <v>3150</v>
      </c>
      <c r="G39" s="36">
        <f>SUM(G33:G38)</f>
        <v>400</v>
      </c>
      <c r="H39" s="20">
        <f t="shared" si="7"/>
        <v>0.12698412698412698</v>
      </c>
      <c r="J39" s="36">
        <f>SUM(J33:J38)</f>
        <v>578.58999999999992</v>
      </c>
      <c r="K39" s="36">
        <f>SUM(K33:K38)</f>
        <v>2333.3000000000002</v>
      </c>
      <c r="L39" s="20">
        <f t="shared" si="8"/>
        <v>-0.75202931470449585</v>
      </c>
    </row>
    <row r="40" spans="1:12" ht="19.5" customHeight="1" x14ac:dyDescent="0.35">
      <c r="A40" s="42">
        <v>40</v>
      </c>
      <c r="B40" s="838" t="str">
        <f>+'New Year-Full Year'!B39</f>
        <v>Worship</v>
      </c>
      <c r="H40" s="38"/>
    </row>
    <row r="41" spans="1:12" x14ac:dyDescent="0.35">
      <c r="A41" s="42">
        <v>41</v>
      </c>
      <c r="C41" s="1" t="str">
        <f>+'New Year-Full Year'!C40</f>
        <v>Worship Supplies</v>
      </c>
      <c r="E41" s="37">
        <f>+'New Year-Full Year'!P40</f>
        <v>3000</v>
      </c>
      <c r="F41" s="37">
        <f>+'New Year-Full Year'!Q40</f>
        <v>3000</v>
      </c>
      <c r="G41" s="37">
        <f>+E41-F41</f>
        <v>0</v>
      </c>
      <c r="H41" s="3">
        <f>IF(F41=0,"NA",(+E41-F41)/F41)</f>
        <v>0</v>
      </c>
      <c r="J41" s="37">
        <f>+'New Year-Full Year'!U40</f>
        <v>1384.13</v>
      </c>
      <c r="K41" s="37">
        <f>+'New Year-Full Year'!V40</f>
        <v>2250</v>
      </c>
      <c r="L41" s="3">
        <f>IF(K41=0,"NA",(+J41-K41)/K41)</f>
        <v>-0.38483111111111107</v>
      </c>
    </row>
    <row r="42" spans="1:12" x14ac:dyDescent="0.35">
      <c r="A42" s="42">
        <v>44</v>
      </c>
      <c r="C42" s="1" t="str">
        <f>+'New Year-Full Year'!C41</f>
        <v>Flowers</v>
      </c>
      <c r="E42" s="37">
        <f>+'New Year-Full Year'!P41</f>
        <v>200</v>
      </c>
      <c r="F42" s="37">
        <f>+'New Year-Full Year'!Q41</f>
        <v>200</v>
      </c>
      <c r="G42" s="37">
        <f>+E42-F42</f>
        <v>0</v>
      </c>
      <c r="H42" s="3">
        <f>IF(F42=0,"NA",(+E42-F42)/F42)</f>
        <v>0</v>
      </c>
      <c r="J42" s="37">
        <f>+'New Year-Full Year'!U41</f>
        <v>-166</v>
      </c>
      <c r="K42" s="37">
        <f>+'New Year-Full Year'!V41</f>
        <v>150</v>
      </c>
      <c r="L42" s="3">
        <f>IF(K42=0,"NA",(+J42-K42)/K42)</f>
        <v>-2.1066666666666665</v>
      </c>
    </row>
    <row r="43" spans="1:12" s="2" customFormat="1" x14ac:dyDescent="0.35">
      <c r="A43" s="42">
        <v>45</v>
      </c>
      <c r="B43" s="36" t="str">
        <f>+'New Year-Full Year'!B42</f>
        <v>Total Worship</v>
      </c>
      <c r="C43" s="36"/>
      <c r="D43" s="36"/>
      <c r="E43" s="36">
        <f>SUM(E41:E42)</f>
        <v>3200</v>
      </c>
      <c r="F43" s="36">
        <f>SUM(F41:F42)</f>
        <v>3200</v>
      </c>
      <c r="G43" s="36">
        <f>SUM(G41:G42)</f>
        <v>0</v>
      </c>
      <c r="H43" s="20">
        <f>IF(F43=0,"NA",(+E43-F43)/F43)</f>
        <v>0</v>
      </c>
      <c r="J43" s="36">
        <f>SUM(J41:J42)</f>
        <v>1218.1300000000001</v>
      </c>
      <c r="K43" s="36">
        <f>SUM(K41:K42)</f>
        <v>2400</v>
      </c>
      <c r="L43" s="20">
        <f>IF(K43=0,"NA",(+J43-K43)/K43)</f>
        <v>-0.4924458333333333</v>
      </c>
    </row>
    <row r="44" spans="1:12" ht="6.75" customHeight="1" x14ac:dyDescent="0.35">
      <c r="A44" s="42">
        <v>46</v>
      </c>
      <c r="H44" s="38"/>
    </row>
    <row r="45" spans="1:12" s="2" customFormat="1" x14ac:dyDescent="0.35">
      <c r="A45" s="42">
        <v>51</v>
      </c>
      <c r="B45" s="36" t="str">
        <f>+'New Year-Full Year'!B44</f>
        <v>Youth</v>
      </c>
      <c r="C45" s="36"/>
      <c r="D45" s="36"/>
      <c r="E45" s="36">
        <f>+'New Year-Full Year'!P44</f>
        <v>3000</v>
      </c>
      <c r="F45" s="36">
        <f>+'New Year-Full Year'!Q44</f>
        <v>3000</v>
      </c>
      <c r="G45" s="36">
        <f>+E45-F45</f>
        <v>0</v>
      </c>
      <c r="H45" s="20">
        <f>IF(F45=0,"NA",(+E45-F45)/F45)</f>
        <v>0</v>
      </c>
      <c r="J45" s="36">
        <f>+'New Year-Full Year'!U44</f>
        <v>437.5</v>
      </c>
      <c r="K45" s="36">
        <f>+'New Year-Full Year'!V44</f>
        <v>2250</v>
      </c>
      <c r="L45" s="20">
        <f>IF(K45=0,"NA",(+J45-K45)/K45)</f>
        <v>-0.80555555555555558</v>
      </c>
    </row>
    <row r="46" spans="1:12" ht="19.5" customHeight="1" x14ac:dyDescent="0.35">
      <c r="A46" s="42">
        <v>53</v>
      </c>
      <c r="B46" s="838">
        <f>+'New Year-Full Year'!B45</f>
        <v>0</v>
      </c>
      <c r="H46" s="38"/>
    </row>
    <row r="47" spans="1:12" x14ac:dyDescent="0.35">
      <c r="A47" s="42">
        <v>54</v>
      </c>
      <c r="C47" s="1" t="str">
        <f>+'New Year-Full Year'!C46</f>
        <v>Church Membership Activities</v>
      </c>
      <c r="E47" s="37">
        <f>+'New Year-Full Year'!P46</f>
        <v>400</v>
      </c>
      <c r="F47" s="37">
        <f>+'New Year-Full Year'!Q46</f>
        <v>400</v>
      </c>
      <c r="G47" s="37">
        <f>+E47-F47</f>
        <v>0</v>
      </c>
      <c r="H47" s="3">
        <f>IF(F47=0,"NA",(+E47-F47)/F47)</f>
        <v>0</v>
      </c>
      <c r="J47" s="37">
        <f>+'New Year-Full Year'!U46</f>
        <v>419.51</v>
      </c>
      <c r="K47" s="37">
        <f>+'New Year-Full Year'!V46</f>
        <v>299.97000000000003</v>
      </c>
      <c r="L47" s="3">
        <f>IF(K47=0,"NA",(+J47-K47)/K47)</f>
        <v>0.39850651731839837</v>
      </c>
    </row>
    <row r="48" spans="1:12" s="2" customFormat="1" x14ac:dyDescent="0.35">
      <c r="A48" s="42">
        <v>56</v>
      </c>
      <c r="B48" s="36" t="str">
        <f>+'New Year-Full Year'!B47</f>
        <v>Church Membership</v>
      </c>
      <c r="C48" s="36"/>
      <c r="D48" s="36"/>
      <c r="E48" s="36">
        <f>SUM(E47:E47)</f>
        <v>400</v>
      </c>
      <c r="F48" s="36">
        <f>SUM(F47:F47)</f>
        <v>400</v>
      </c>
      <c r="G48" s="36">
        <f>SUM(G47:G47)</f>
        <v>0</v>
      </c>
      <c r="H48" s="20">
        <f>IF(F48=0,"NA",(+E48-F48)/F48)</f>
        <v>0</v>
      </c>
      <c r="J48" s="36">
        <f>SUM(J47:J47)</f>
        <v>419.51</v>
      </c>
      <c r="K48" s="36">
        <f>SUM(K47:K47)</f>
        <v>299.97000000000003</v>
      </c>
      <c r="L48" s="20">
        <f>IF(K48=0,"NA",(+J48-K48)/K48)</f>
        <v>0.39850651731839837</v>
      </c>
    </row>
    <row r="49" spans="1:12" ht="5.25" customHeight="1" x14ac:dyDescent="0.35">
      <c r="A49" s="42">
        <v>57</v>
      </c>
      <c r="H49" s="38"/>
    </row>
    <row r="50" spans="1:12" x14ac:dyDescent="0.35">
      <c r="A50" s="42">
        <v>58</v>
      </c>
      <c r="B50" s="36" t="str">
        <f>+'New Year-Full Year'!B49</f>
        <v>Church &amp; Community Outreach</v>
      </c>
      <c r="C50" s="21"/>
      <c r="D50" s="21"/>
      <c r="E50" s="44">
        <f>+'New Year-Full Year'!P49</f>
        <v>200</v>
      </c>
      <c r="F50" s="44">
        <f>+'New Year-Full Year'!Q49</f>
        <v>200</v>
      </c>
      <c r="G50" s="36">
        <f>+E50-F50</f>
        <v>0</v>
      </c>
      <c r="H50" s="20">
        <f>IF(F50=0,"NA",(+E50-F50)/F50)</f>
        <v>0</v>
      </c>
      <c r="J50" s="44">
        <f>+'New Year-Full Year'!U49</f>
        <v>0</v>
      </c>
      <c r="K50" s="44">
        <f>+'New Year-Full Year'!V49</f>
        <v>150.03</v>
      </c>
      <c r="L50" s="20">
        <f>IF(K50=0,"NA",(+J50-K50)/K50)</f>
        <v>-1</v>
      </c>
    </row>
    <row r="51" spans="1:12" ht="19.5" customHeight="1" x14ac:dyDescent="0.35">
      <c r="A51" s="42">
        <v>60</v>
      </c>
      <c r="B51" s="838" t="str">
        <f>+'New Year-Full Year'!B50</f>
        <v>Misc Programs</v>
      </c>
      <c r="H51" s="38"/>
    </row>
    <row r="52" spans="1:12" x14ac:dyDescent="0.35">
      <c r="A52" s="42">
        <v>61</v>
      </c>
      <c r="C52" s="1" t="str">
        <f>+'New Year-Full Year'!C51</f>
        <v>Stewardship</v>
      </c>
      <c r="E52" s="37">
        <f>+'New Year-Full Year'!P51</f>
        <v>200</v>
      </c>
      <c r="F52" s="37">
        <f>+'New Year-Full Year'!Q51</f>
        <v>200</v>
      </c>
      <c r="G52" s="37">
        <f t="shared" ref="G52:G56" si="9">+E52-F52</f>
        <v>0</v>
      </c>
      <c r="H52" s="3">
        <f t="shared" ref="H52:H57" si="10">IF(F52=0,"NA",(+E52-F52)/F52)</f>
        <v>0</v>
      </c>
      <c r="J52" s="37">
        <f>+'New Year-Full Year'!U51</f>
        <v>0</v>
      </c>
      <c r="K52" s="37">
        <f>+'New Year-Full Year'!V51</f>
        <v>0</v>
      </c>
      <c r="L52" s="3" t="str">
        <f t="shared" ref="L52:L57" si="11">IF(K52=0,"NA",(+J52-K52)/K52)</f>
        <v>NA</v>
      </c>
    </row>
    <row r="53" spans="1:12" x14ac:dyDescent="0.35">
      <c r="A53" s="42">
        <v>62</v>
      </c>
      <c r="C53" s="1" t="str">
        <f>+'New Year-Full Year'!C54</f>
        <v>Envelopes, Giving</v>
      </c>
      <c r="E53" s="37">
        <f>+'New Year-Full Year'!P54</f>
        <v>300</v>
      </c>
      <c r="F53" s="37">
        <f>+'New Year-Full Year'!Q54</f>
        <v>300</v>
      </c>
      <c r="G53" s="37">
        <f t="shared" si="9"/>
        <v>0</v>
      </c>
      <c r="H53" s="3">
        <f t="shared" si="10"/>
        <v>0</v>
      </c>
      <c r="J53" s="37">
        <f>+'New Year-Full Year'!U54</f>
        <v>0</v>
      </c>
      <c r="K53" s="37">
        <f>+'New Year-Full Year'!V54</f>
        <v>0</v>
      </c>
      <c r="L53" s="3" t="str">
        <f t="shared" si="11"/>
        <v>NA</v>
      </c>
    </row>
    <row r="54" spans="1:12" x14ac:dyDescent="0.35">
      <c r="A54" s="42">
        <v>63</v>
      </c>
      <c r="C54" s="1" t="str">
        <f>+'New Year-Full Year'!C55</f>
        <v>Synod Assembly</v>
      </c>
      <c r="E54" s="37">
        <f>+'New Year-Full Year'!P55</f>
        <v>500</v>
      </c>
      <c r="F54" s="37">
        <f>+'New Year-Full Year'!Q55</f>
        <v>1000</v>
      </c>
      <c r="G54" s="37">
        <f t="shared" si="9"/>
        <v>-500</v>
      </c>
      <c r="H54" s="3">
        <f t="shared" si="10"/>
        <v>-0.5</v>
      </c>
      <c r="J54" s="37">
        <f>+'New Year-Full Year'!U55</f>
        <v>0</v>
      </c>
      <c r="K54" s="37">
        <f>+'New Year-Full Year'!V55</f>
        <v>1000</v>
      </c>
      <c r="L54" s="3">
        <f t="shared" si="11"/>
        <v>-1</v>
      </c>
    </row>
    <row r="55" spans="1:12" x14ac:dyDescent="0.35">
      <c r="C55" s="1" t="str">
        <f>+'New Year-Full Year'!C56</f>
        <v>Other Programs</v>
      </c>
      <c r="E55" s="37">
        <f>+'New Year-Full Year'!P56</f>
        <v>700</v>
      </c>
      <c r="F55" s="37">
        <f>+'New Year-Full Year'!Q56</f>
        <v>200</v>
      </c>
      <c r="G55" s="37">
        <f t="shared" si="9"/>
        <v>500</v>
      </c>
      <c r="H55" s="3">
        <f>IF(F55=0,"NA",(+E55-F55)/F55)</f>
        <v>2.5</v>
      </c>
      <c r="J55" s="37">
        <f>+'New Year-Full Year'!U56</f>
        <v>602.02</v>
      </c>
      <c r="K55" s="37">
        <f>+'New Year-Full Year'!V56</f>
        <v>150.03</v>
      </c>
      <c r="L55" s="3">
        <f>IF(K55=0,"NA",(+J55-K55)/K55)</f>
        <v>3.0126641338398987</v>
      </c>
    </row>
    <row r="56" spans="1:12" x14ac:dyDescent="0.35">
      <c r="A56" s="42">
        <v>65</v>
      </c>
      <c r="C56" s="1" t="str">
        <f>+'New Year-Full Year'!C57</f>
        <v>Organ/Piano Maintenance</v>
      </c>
      <c r="E56" s="37">
        <f>+'New Year-Full Year'!P57</f>
        <v>1484</v>
      </c>
      <c r="F56" s="37">
        <f>+'New Year-Full Year'!Q57</f>
        <v>1484</v>
      </c>
      <c r="G56" s="37">
        <f t="shared" si="9"/>
        <v>0</v>
      </c>
      <c r="H56" s="3">
        <f t="shared" si="10"/>
        <v>0</v>
      </c>
      <c r="J56" s="37">
        <f>+'New Year-Full Year'!U57</f>
        <v>60</v>
      </c>
      <c r="K56" s="37">
        <f>+'New Year-Full Year'!V57</f>
        <v>1113.03</v>
      </c>
      <c r="L56" s="3">
        <f t="shared" si="11"/>
        <v>-0.94609309722109913</v>
      </c>
    </row>
    <row r="57" spans="1:12" s="2" customFormat="1" x14ac:dyDescent="0.35">
      <c r="A57" s="42">
        <v>66</v>
      </c>
      <c r="B57" s="36" t="str">
        <f>+'New Year-Full Year'!B58</f>
        <v>Total Misc Programs</v>
      </c>
      <c r="C57" s="36"/>
      <c r="D57" s="36"/>
      <c r="E57" s="36">
        <f>SUM(E52:E56)</f>
        <v>3184</v>
      </c>
      <c r="F57" s="36">
        <f>SUM(F52:F56)</f>
        <v>3184</v>
      </c>
      <c r="G57" s="36">
        <f>SUM(G52:G56)</f>
        <v>0</v>
      </c>
      <c r="H57" s="20">
        <f t="shared" si="10"/>
        <v>0</v>
      </c>
      <c r="J57" s="36">
        <f>SUM(J52:J56)</f>
        <v>662.02</v>
      </c>
      <c r="K57" s="36">
        <f>SUM(K52:K56)</f>
        <v>2263.06</v>
      </c>
      <c r="L57" s="20">
        <f t="shared" si="11"/>
        <v>-0.70746688112555567</v>
      </c>
    </row>
    <row r="58" spans="1:12" ht="19.5" customHeight="1" x14ac:dyDescent="0.35">
      <c r="A58" s="42">
        <v>68</v>
      </c>
      <c r="B58" s="838" t="str">
        <f>+'New Year-Full Year'!B59</f>
        <v>Office Expense</v>
      </c>
      <c r="H58" s="38"/>
    </row>
    <row r="59" spans="1:12" x14ac:dyDescent="0.35">
      <c r="A59" s="42">
        <v>69</v>
      </c>
      <c r="C59" s="1" t="str">
        <f>+'New Year-Full Year'!C60</f>
        <v>Office Supplies</v>
      </c>
      <c r="E59" s="37">
        <f>+'New Year-Full Year'!P60</f>
        <v>2000</v>
      </c>
      <c r="F59" s="37">
        <f>+'New Year-Full Year'!Q60</f>
        <v>2000</v>
      </c>
      <c r="G59" s="37">
        <f t="shared" ref="G59:G65" si="12">+E59-F59</f>
        <v>0</v>
      </c>
      <c r="H59" s="3">
        <f t="shared" ref="H59:H67" si="13">IF(F59=0,"NA",(+E59-F59)/F59)</f>
        <v>0</v>
      </c>
      <c r="J59" s="37">
        <f>+'New Year-Full Year'!U60</f>
        <v>1404.8</v>
      </c>
      <c r="K59" s="37">
        <f>+'New Year-Full Year'!V60</f>
        <v>1500</v>
      </c>
      <c r="L59" s="3">
        <f t="shared" ref="L59:L67" si="14">IF(K59=0,"NA",(+J59-K59)/K59)</f>
        <v>-6.3466666666666699E-2</v>
      </c>
    </row>
    <row r="60" spans="1:12" x14ac:dyDescent="0.35">
      <c r="A60" s="42">
        <v>70</v>
      </c>
      <c r="C60" s="1" t="str">
        <f>+'New Year-Full Year'!C61</f>
        <v>Postage</v>
      </c>
      <c r="E60" s="37">
        <f>+'New Year-Full Year'!P61</f>
        <v>2000</v>
      </c>
      <c r="F60" s="37">
        <f>+'New Year-Full Year'!Q61</f>
        <v>2000</v>
      </c>
      <c r="G60" s="37">
        <f t="shared" si="12"/>
        <v>0</v>
      </c>
      <c r="H60" s="3">
        <f t="shared" si="13"/>
        <v>0</v>
      </c>
      <c r="J60" s="37">
        <f>+'New Year-Full Year'!U61</f>
        <v>1290</v>
      </c>
      <c r="K60" s="37">
        <f>+'New Year-Full Year'!V61</f>
        <v>1500</v>
      </c>
      <c r="L60" s="3">
        <f t="shared" si="14"/>
        <v>-0.14000000000000001</v>
      </c>
    </row>
    <row r="61" spans="1:12" x14ac:dyDescent="0.35">
      <c r="C61" s="1" t="str">
        <f>+'New Year-Full Year'!C62</f>
        <v>Technology</v>
      </c>
      <c r="E61" s="37">
        <f>+'New Year-Full Year'!P62</f>
        <v>9500</v>
      </c>
      <c r="F61" s="37">
        <f>+'New Year-Full Year'!Q62</f>
        <v>0</v>
      </c>
      <c r="G61" s="37">
        <f t="shared" ref="G61" si="15">+E61-F61</f>
        <v>9500</v>
      </c>
      <c r="H61" s="3" t="str">
        <f t="shared" ref="H61" si="16">IF(F61=0,"NA",(+E61-F61)/F61)</f>
        <v>NA</v>
      </c>
      <c r="J61" s="37">
        <f>+'New Year-Full Year'!U62</f>
        <v>0</v>
      </c>
      <c r="K61" s="37">
        <f>+'New Year-Full Year'!V62</f>
        <v>0</v>
      </c>
      <c r="L61" s="3" t="str">
        <f t="shared" ref="L61" si="17">IF(K61=0,"NA",(+J61-K61)/K61)</f>
        <v>NA</v>
      </c>
    </row>
    <row r="62" spans="1:12" x14ac:dyDescent="0.35">
      <c r="A62" s="42">
        <v>73</v>
      </c>
      <c r="C62" s="1" t="str">
        <f>+'New Year-Full Year'!C63</f>
        <v>Office Equipment/Computer</v>
      </c>
      <c r="E62" s="37">
        <f>+'New Year-Full Year'!P63</f>
        <v>7793.8</v>
      </c>
      <c r="F62" s="37">
        <f>+'New Year-Full Year'!Q63</f>
        <v>10800</v>
      </c>
      <c r="G62" s="37">
        <f t="shared" si="12"/>
        <v>-3006.2</v>
      </c>
      <c r="H62" s="3">
        <f t="shared" si="13"/>
        <v>-0.27835185185185185</v>
      </c>
      <c r="J62" s="37">
        <f>+'New Year-Full Year'!U63</f>
        <v>10555.82</v>
      </c>
      <c r="K62" s="37">
        <f>+'New Year-Full Year'!V63</f>
        <v>8100</v>
      </c>
      <c r="L62" s="3">
        <f t="shared" si="14"/>
        <v>0.3031876543209876</v>
      </c>
    </row>
    <row r="63" spans="1:12" x14ac:dyDescent="0.35">
      <c r="A63" s="42">
        <v>74</v>
      </c>
      <c r="C63" s="1" t="str">
        <f>+'New Year-Full Year'!C64</f>
        <v>Kitchen Supplies</v>
      </c>
      <c r="E63" s="37">
        <f>+'New Year-Full Year'!P64</f>
        <v>700</v>
      </c>
      <c r="F63" s="37">
        <f>+'New Year-Full Year'!Q64</f>
        <v>700</v>
      </c>
      <c r="G63" s="37">
        <f t="shared" si="12"/>
        <v>0</v>
      </c>
      <c r="H63" s="3">
        <f t="shared" si="13"/>
        <v>0</v>
      </c>
      <c r="J63" s="37">
        <f>+'New Year-Full Year'!U64</f>
        <v>146.6</v>
      </c>
      <c r="K63" s="37">
        <f>+'New Year-Full Year'!V64</f>
        <v>524.97</v>
      </c>
      <c r="L63" s="3">
        <f t="shared" si="14"/>
        <v>-0.72074594738746978</v>
      </c>
    </row>
    <row r="64" spans="1:12" x14ac:dyDescent="0.35">
      <c r="A64" s="42">
        <v>75</v>
      </c>
      <c r="C64" s="1" t="str">
        <f>+'New Year-Full Year'!C65</f>
        <v>Bank Fees</v>
      </c>
      <c r="E64" s="37">
        <f>+'New Year-Full Year'!P65</f>
        <v>2000</v>
      </c>
      <c r="F64" s="37">
        <f>+'New Year-Full Year'!Q65</f>
        <v>1700</v>
      </c>
      <c r="G64" s="37">
        <f t="shared" si="12"/>
        <v>300</v>
      </c>
      <c r="H64" s="3">
        <f t="shared" si="13"/>
        <v>0.17647058823529413</v>
      </c>
      <c r="J64" s="37">
        <f>+'New Year-Full Year'!U65</f>
        <v>1671.67</v>
      </c>
      <c r="K64" s="37">
        <f>+'New Year-Full Year'!V65</f>
        <v>1275.03</v>
      </c>
      <c r="L64" s="3">
        <f t="shared" si="14"/>
        <v>0.31108287648133776</v>
      </c>
    </row>
    <row r="65" spans="1:13" x14ac:dyDescent="0.35">
      <c r="A65" s="42">
        <v>76</v>
      </c>
      <c r="C65" s="1" t="str">
        <f>+'New Year-Full Year'!C66</f>
        <v>Professional Fees</v>
      </c>
      <c r="E65" s="37">
        <f>+'New Year-Full Year'!P66</f>
        <v>1000</v>
      </c>
      <c r="F65" s="37">
        <f>+'New Year-Full Year'!Q66</f>
        <v>1000</v>
      </c>
      <c r="G65" s="37">
        <f t="shared" si="12"/>
        <v>0</v>
      </c>
      <c r="H65" s="3">
        <f>IF(F65=0,"NA",(+E65-F65)/F65)</f>
        <v>0</v>
      </c>
      <c r="J65" s="37">
        <f>+'New Year-Full Year'!U66</f>
        <v>0</v>
      </c>
      <c r="K65" s="37">
        <f>+'New Year-Full Year'!V66</f>
        <v>749.97</v>
      </c>
      <c r="L65" s="3">
        <f>IF(K65=0,"NA",(+J65-K65)/K65)</f>
        <v>-1</v>
      </c>
    </row>
    <row r="66" spans="1:13" s="2" customFormat="1" x14ac:dyDescent="0.35">
      <c r="A66" s="42">
        <v>76</v>
      </c>
      <c r="B66" s="36" t="str">
        <f>+'New Year-Full Year'!B68</f>
        <v>Total Office Expense</v>
      </c>
      <c r="C66" s="36"/>
      <c r="D66" s="36"/>
      <c r="E66" s="36">
        <f>SUM(E59:E65)</f>
        <v>24993.8</v>
      </c>
      <c r="F66" s="36">
        <f>SUM(F59:F65)</f>
        <v>18200</v>
      </c>
      <c r="G66" s="36">
        <f>SUM(G59:G65)</f>
        <v>6793.8</v>
      </c>
      <c r="H66" s="20">
        <f t="shared" si="13"/>
        <v>0.37328571428571422</v>
      </c>
      <c r="J66" s="36">
        <f>SUM(J59:J65)</f>
        <v>15068.89</v>
      </c>
      <c r="K66" s="36">
        <f>SUM(K59:K65)</f>
        <v>13649.97</v>
      </c>
      <c r="L66" s="20">
        <f t="shared" si="14"/>
        <v>0.10395041161262626</v>
      </c>
    </row>
    <row r="67" spans="1:13" x14ac:dyDescent="0.35">
      <c r="A67" s="42">
        <v>77</v>
      </c>
      <c r="B67" s="36" t="str">
        <f>+'New Year-Full Year'!B69</f>
        <v>TOTAL PROGRAMS</v>
      </c>
      <c r="C67" s="22"/>
      <c r="D67" s="22"/>
      <c r="E67" s="36">
        <f>+E39+E43+E45+E50+E57+E66+E48</f>
        <v>38527.800000000003</v>
      </c>
      <c r="F67" s="36">
        <f>+F39+F43+F45+F50+F57+F66+F48</f>
        <v>31334</v>
      </c>
      <c r="G67" s="36">
        <f>+G39+G43+G45+G50+G57+G66+G48</f>
        <v>7193.8</v>
      </c>
      <c r="H67" s="20">
        <f t="shared" si="13"/>
        <v>0.22958447692602293</v>
      </c>
      <c r="J67" s="36">
        <f>+J39+J43+J45+J50+J57+J66+J48</f>
        <v>18384.64</v>
      </c>
      <c r="K67" s="36">
        <f>+K39+K43+K45+K50+K57+K66+K48</f>
        <v>23346.33</v>
      </c>
      <c r="L67" s="20">
        <f t="shared" si="14"/>
        <v>-0.21252548045024644</v>
      </c>
    </row>
    <row r="68" spans="1:13" ht="23" customHeight="1" x14ac:dyDescent="0.35">
      <c r="A68" s="42">
        <v>79</v>
      </c>
      <c r="B68" s="6" t="s">
        <v>33</v>
      </c>
      <c r="H68" s="38"/>
    </row>
    <row r="69" spans="1:13" hidden="1" x14ac:dyDescent="0.35">
      <c r="B69" s="2" t="s">
        <v>291</v>
      </c>
      <c r="H69" s="38"/>
    </row>
    <row r="70" spans="1:13" hidden="1" x14ac:dyDescent="0.35">
      <c r="A70" s="42">
        <v>81</v>
      </c>
      <c r="C70" s="1168" t="s">
        <v>351</v>
      </c>
      <c r="D70" s="1168"/>
      <c r="E70" s="37">
        <f>'New Year-Full Year'!P$94+'New Year-Full Year'!P$96+'New Year-Full Year'!P$107+SUM('New Year-Full Year'!P$109:P$110)+SUM('New Year-Full Year'!P$116:P$116)+'New Year-Full Year'!P$120</f>
        <v>135620</v>
      </c>
      <c r="F70" s="37">
        <f>'New Year-Full Year'!Q$94+'New Year-Full Year'!Q$96+'New Year-Full Year'!Q$107+SUM('New Year-Full Year'!Q$109:Q$110)+SUM('New Year-Full Year'!Q$116:Q$116)+'New Year-Full Year'!Q$120</f>
        <v>227061</v>
      </c>
      <c r="G70" s="37">
        <f>+E70-F70</f>
        <v>-91441</v>
      </c>
      <c r="H70" s="3">
        <f>IF(F70=0,"NA",(+E70-F70)/F70)</f>
        <v>-0.40271556982484885</v>
      </c>
      <c r="J70" s="37">
        <f>'New Year-Full Year'!U$94+'New Year-Full Year'!U$96+'New Year-Full Year'!U$107+SUM('New Year-Full Year'!U$109:U$110)+SUM('New Year-Full Year'!U$116:U$116)+'New Year-Full Year'!U$120</f>
        <v>118292.6</v>
      </c>
      <c r="K70" s="37">
        <f>'New Year-Full Year'!V$94+'New Year-Full Year'!V$96+'New Year-Full Year'!V$107+SUM('New Year-Full Year'!V$109:V$110)+SUM('New Year-Full Year'!V$116:V$116)+'New Year-Full Year'!V$120</f>
        <v>168679.41</v>
      </c>
      <c r="L70" s="3">
        <f>IF(K70=0,"NA",(+J70-K70)/K70)</f>
        <v>-0.29871345886258432</v>
      </c>
    </row>
    <row r="71" spans="1:13" hidden="1" x14ac:dyDescent="0.35">
      <c r="A71" s="42">
        <v>83</v>
      </c>
      <c r="C71" s="1" t="s">
        <v>96</v>
      </c>
      <c r="E71" s="37">
        <f>+'New Year-Full Year'!P114+'New Year-Full Year'!P115+'New Year-Full Year'!P118+'New Year-Full Year'!P119</f>
        <v>18182.5</v>
      </c>
      <c r="F71" s="37">
        <f>+'New Year-Full Year'!Q114+'New Year-Full Year'!Q115+'New Year-Full Year'!Q118+'New Year-Full Year'!Q119</f>
        <v>13885</v>
      </c>
      <c r="G71" s="37">
        <f>+E71-F71</f>
        <v>4297.5</v>
      </c>
      <c r="H71" s="3">
        <f>IF(F71=0,"NA",(+E71-F71)/F71)</f>
        <v>0.30950666186532227</v>
      </c>
      <c r="J71" s="37">
        <f>+'New Year-Full Year'!U114+'New Year-Full Year'!U115+'New Year-Full Year'!U118+'New Year-Full Year'!U119</f>
        <v>7806.41</v>
      </c>
      <c r="K71" s="37">
        <f>+'New Year-Full Year'!V114+'New Year-Full Year'!V115+'New Year-Full Year'!V118+'New Year-Full Year'!V119</f>
        <v>10413.75</v>
      </c>
      <c r="L71" s="3">
        <f>IF(K71=0,"NA",(+J71-K71)/K71)</f>
        <v>-0.25037474492858003</v>
      </c>
      <c r="M71" s="291"/>
    </row>
    <row r="72" spans="1:13" hidden="1" x14ac:dyDescent="0.35">
      <c r="B72" s="2" t="s">
        <v>292</v>
      </c>
      <c r="D72" s="2" t="s">
        <v>651</v>
      </c>
      <c r="E72" s="37"/>
      <c r="F72" s="37"/>
      <c r="G72" s="37"/>
      <c r="H72" s="3"/>
      <c r="J72" s="37"/>
      <c r="K72" s="37"/>
      <c r="L72" s="3"/>
      <c r="M72" s="291"/>
    </row>
    <row r="73" spans="1:13" hidden="1" x14ac:dyDescent="0.35">
      <c r="C73" s="1168" t="s">
        <v>293</v>
      </c>
      <c r="D73" s="1168"/>
      <c r="E73" s="37">
        <f>'New Year-Full Year'!P$97+'New Year-Full Year'!P$117++'New Year-Full Year'!P$72+SUM('New Year-Full Year'!P73:P81)</f>
        <v>120963.076</v>
      </c>
      <c r="F73" s="37">
        <f>'New Year-Full Year'!Q$97+'New Year-Full Year'!Q$117++'New Year-Full Year'!Q$72+SUM('New Year-Full Year'!Q73:Q81)</f>
        <v>43670</v>
      </c>
      <c r="G73" s="37">
        <f>+E73-F73</f>
        <v>77293.076000000001</v>
      </c>
      <c r="H73" s="3">
        <f>IF(F73=0,"NA",(+E73-F73)/F73)</f>
        <v>1.7699353331806733</v>
      </c>
      <c r="J73" s="37">
        <f>'New Year-Full Year'!U$97+'New Year-Full Year'!U$117++'New Year-Full Year'!U$72+SUM('New Year-Full Year'!U73:U81)</f>
        <v>19105.91</v>
      </c>
      <c r="K73" s="37">
        <f>'New Year-Full Year'!V$97+'New Year-Full Year'!V$117++'New Year-Full Year'!V$72+SUM('New Year-Full Year'!V73:V81)</f>
        <v>36851.839999999997</v>
      </c>
      <c r="L73" s="3">
        <f>IF(K73=0,"NA",(+J73-K73)/K73)</f>
        <v>-0.48154800411594095</v>
      </c>
      <c r="M73" s="291"/>
    </row>
    <row r="74" spans="1:13" s="2" customFormat="1" x14ac:dyDescent="0.35">
      <c r="A74" s="42">
        <v>86</v>
      </c>
      <c r="B74" s="23" t="s">
        <v>352</v>
      </c>
      <c r="C74" s="23"/>
      <c r="D74" s="23"/>
      <c r="E74" s="23">
        <f>SUM(E70:E73)</f>
        <v>274765.576</v>
      </c>
      <c r="F74" s="23">
        <f>SUM(F70:F73)</f>
        <v>284616</v>
      </c>
      <c r="G74" s="23">
        <f>+E74-F74</f>
        <v>-9850.4239999999991</v>
      </c>
      <c r="H74" s="24">
        <f>IF(F74=0,"NA",(+E74-F74)/F74)</f>
        <v>-3.4609523006436736E-2</v>
      </c>
      <c r="J74" s="23">
        <f>SUM(J70:J73)</f>
        <v>145204.92000000001</v>
      </c>
      <c r="K74" s="23">
        <f>SUM(K70:K73)</f>
        <v>215945</v>
      </c>
      <c r="L74" s="24">
        <f>IF(K74=0,"NA",(+J74-K74)/K74)</f>
        <v>-0.32758378290768475</v>
      </c>
      <c r="M74" s="292"/>
    </row>
    <row r="75" spans="1:13" ht="23" customHeight="1" x14ac:dyDescent="0.35">
      <c r="A75" s="42">
        <v>130</v>
      </c>
      <c r="B75" s="6" t="str">
        <f>+'New Year-Full Year'!B123</f>
        <v>Facilities</v>
      </c>
      <c r="H75" s="38"/>
    </row>
    <row r="76" spans="1:13" ht="19.5" customHeight="1" x14ac:dyDescent="0.35">
      <c r="A76" s="42">
        <v>131</v>
      </c>
      <c r="B76" s="838" t="str">
        <f>+'New Year-Full Year'!B124</f>
        <v>Utilities</v>
      </c>
      <c r="H76" s="38"/>
    </row>
    <row r="77" spans="1:13" x14ac:dyDescent="0.35">
      <c r="A77" s="42">
        <v>132</v>
      </c>
      <c r="C77" s="1" t="str">
        <f>+'New Year-Full Year'!C125</f>
        <v>Electric</v>
      </c>
      <c r="E77" s="37">
        <f>+'New Year-Full Year'!P125</f>
        <v>13000</v>
      </c>
      <c r="F77" s="37">
        <f>+'New Year-Full Year'!Q125</f>
        <v>12000</v>
      </c>
      <c r="G77" s="37">
        <f t="shared" ref="G77:G82" si="18">+E77-F77</f>
        <v>1000</v>
      </c>
      <c r="H77" s="3">
        <f t="shared" ref="H77:H83" si="19">IF(F77=0,"NA",(+E77-F77)/F77)</f>
        <v>8.3333333333333329E-2</v>
      </c>
      <c r="J77" s="37">
        <f>+'New Year-Full Year'!U125</f>
        <v>9751.02</v>
      </c>
      <c r="K77" s="37">
        <f>+'New Year-Full Year'!V125</f>
        <v>9000</v>
      </c>
      <c r="L77" s="3">
        <f t="shared" ref="L77:L83" si="20">IF(K77=0,"NA",(+J77-K77)/K77)</f>
        <v>8.3446666666666711E-2</v>
      </c>
    </row>
    <row r="78" spans="1:13" x14ac:dyDescent="0.35">
      <c r="A78" s="42">
        <v>133</v>
      </c>
      <c r="C78" s="1" t="str">
        <f>+'New Year-Full Year'!C126</f>
        <v>Gas</v>
      </c>
      <c r="E78" s="37">
        <f>+'New Year-Full Year'!P126</f>
        <v>12000</v>
      </c>
      <c r="F78" s="37">
        <f>+'New Year-Full Year'!Q126</f>
        <v>8400</v>
      </c>
      <c r="G78" s="37">
        <f t="shared" si="18"/>
        <v>3600</v>
      </c>
      <c r="H78" s="3">
        <f t="shared" si="19"/>
        <v>0.42857142857142855</v>
      </c>
      <c r="J78" s="37">
        <f>+'New Year-Full Year'!U126</f>
        <v>10443.530000000001</v>
      </c>
      <c r="K78" s="37">
        <f>+'New Year-Full Year'!V126</f>
        <v>6300</v>
      </c>
      <c r="L78" s="3">
        <f t="shared" si="20"/>
        <v>0.65770317460317473</v>
      </c>
    </row>
    <row r="79" spans="1:13" x14ac:dyDescent="0.35">
      <c r="A79" s="42">
        <v>134</v>
      </c>
      <c r="C79" s="1" t="str">
        <f>+'New Year-Full Year'!C127</f>
        <v>Telephone</v>
      </c>
      <c r="E79" s="37">
        <f>+'New Year-Full Year'!P127</f>
        <v>2256.8000000000002</v>
      </c>
      <c r="F79" s="37">
        <f>+'New Year-Full Year'!Q127</f>
        <v>5100</v>
      </c>
      <c r="G79" s="37">
        <f t="shared" si="18"/>
        <v>-2843.2</v>
      </c>
      <c r="H79" s="3">
        <f t="shared" si="19"/>
        <v>-0.55749019607843131</v>
      </c>
      <c r="J79" s="37">
        <f>+'New Year-Full Year'!U127</f>
        <v>5408.33</v>
      </c>
      <c r="K79" s="37">
        <f>+'New Year-Full Year'!V127</f>
        <v>3825</v>
      </c>
      <c r="L79" s="3">
        <f t="shared" si="20"/>
        <v>0.4139424836601307</v>
      </c>
    </row>
    <row r="80" spans="1:13" x14ac:dyDescent="0.35">
      <c r="A80" s="42">
        <v>135</v>
      </c>
      <c r="C80" s="1" t="str">
        <f>+'New Year-Full Year'!C128</f>
        <v>Water</v>
      </c>
      <c r="E80" s="37">
        <f>+'New Year-Full Year'!P128</f>
        <v>1800</v>
      </c>
      <c r="F80" s="37">
        <f>+'New Year-Full Year'!Q128</f>
        <v>1800</v>
      </c>
      <c r="G80" s="37">
        <f t="shared" si="18"/>
        <v>0</v>
      </c>
      <c r="H80" s="3">
        <f t="shared" si="19"/>
        <v>0</v>
      </c>
      <c r="J80" s="37">
        <f>+'New Year-Full Year'!U128</f>
        <v>805.29</v>
      </c>
      <c r="K80" s="37">
        <f>+'New Year-Full Year'!V128</f>
        <v>1350</v>
      </c>
      <c r="L80" s="3">
        <f t="shared" si="20"/>
        <v>-0.4034888888888889</v>
      </c>
    </row>
    <row r="81" spans="1:12" x14ac:dyDescent="0.35">
      <c r="A81" s="42">
        <v>136</v>
      </c>
      <c r="C81" s="1" t="str">
        <f>+'New Year-Full Year'!C129</f>
        <v>Security</v>
      </c>
      <c r="E81" s="37">
        <f>+'New Year-Full Year'!P129</f>
        <v>350</v>
      </c>
      <c r="F81" s="37">
        <f>+'New Year-Full Year'!Q129</f>
        <v>350</v>
      </c>
      <c r="G81" s="37">
        <f t="shared" si="18"/>
        <v>0</v>
      </c>
      <c r="H81" s="3">
        <f t="shared" si="19"/>
        <v>0</v>
      </c>
      <c r="J81" s="37">
        <f>+'New Year-Full Year'!U129</f>
        <v>313.39999999999998</v>
      </c>
      <c r="K81" s="37">
        <f>+'New Year-Full Year'!V129</f>
        <v>350</v>
      </c>
      <c r="L81" s="3">
        <f t="shared" si="20"/>
        <v>-0.10457142857142863</v>
      </c>
    </row>
    <row r="82" spans="1:12" x14ac:dyDescent="0.35">
      <c r="A82" s="42">
        <v>138</v>
      </c>
      <c r="C82" s="1" t="str">
        <f>+'New Year-Full Year'!C130</f>
        <v>City Assessment</v>
      </c>
      <c r="E82" s="37">
        <f>+'New Year-Full Year'!P130</f>
        <v>7000</v>
      </c>
      <c r="F82" s="37">
        <f>+'New Year-Full Year'!Q130</f>
        <v>7000</v>
      </c>
      <c r="G82" s="37">
        <f t="shared" si="18"/>
        <v>0</v>
      </c>
      <c r="H82" s="3">
        <f t="shared" si="19"/>
        <v>0</v>
      </c>
      <c r="J82" s="37">
        <f>+'New Year-Full Year'!U130</f>
        <v>4895.7700000000004</v>
      </c>
      <c r="K82" s="37">
        <f>+'New Year-Full Year'!V130</f>
        <v>5250</v>
      </c>
      <c r="L82" s="3">
        <f t="shared" si="20"/>
        <v>-6.7472380952380867E-2</v>
      </c>
    </row>
    <row r="83" spans="1:12" s="2" customFormat="1" x14ac:dyDescent="0.35">
      <c r="A83" s="42">
        <v>139</v>
      </c>
      <c r="B83" s="26" t="str">
        <f>+'New Year-Full Year'!B131</f>
        <v>Total Utilities</v>
      </c>
      <c r="C83" s="26"/>
      <c r="D83" s="26"/>
      <c r="E83" s="26">
        <f>SUM(E77:E82)</f>
        <v>36406.800000000003</v>
      </c>
      <c r="F83" s="26">
        <f>SUM(F77:F82)</f>
        <v>34650</v>
      </c>
      <c r="G83" s="26">
        <f>SUM(G77:G82)</f>
        <v>1756.8000000000002</v>
      </c>
      <c r="H83" s="27">
        <f t="shared" si="19"/>
        <v>5.0701298701298789E-2</v>
      </c>
      <c r="J83" s="26">
        <f>SUM(J77:J82)</f>
        <v>31617.340000000007</v>
      </c>
      <c r="K83" s="26">
        <f>SUM(K77:K82)</f>
        <v>26075</v>
      </c>
      <c r="L83" s="27">
        <f t="shared" si="20"/>
        <v>0.21255378715244516</v>
      </c>
    </row>
    <row r="84" spans="1:12" ht="19.5" customHeight="1" x14ac:dyDescent="0.35">
      <c r="A84" s="42">
        <v>141</v>
      </c>
      <c r="B84" s="838" t="str">
        <f>+'New Year-Full Year'!B132</f>
        <v>Church Maintenance</v>
      </c>
      <c r="H84" s="38"/>
    </row>
    <row r="85" spans="1:12" x14ac:dyDescent="0.35">
      <c r="A85" s="42">
        <v>142</v>
      </c>
      <c r="C85" s="1" t="str">
        <f>+'New Year-Full Year'!C133</f>
        <v>Insurance</v>
      </c>
      <c r="E85" s="37">
        <f>+'New Year-Full Year'!P133</f>
        <v>14000</v>
      </c>
      <c r="F85" s="37">
        <f>+'New Year-Full Year'!Q133</f>
        <v>14000</v>
      </c>
      <c r="G85" s="37">
        <f>+E85-F85</f>
        <v>0</v>
      </c>
      <c r="H85" s="3">
        <f t="shared" ref="H85:H92" si="21">IF(F85=0,"NA",(+E85-F85)/F85)</f>
        <v>0</v>
      </c>
      <c r="J85" s="37">
        <f>+'New Year-Full Year'!U133</f>
        <v>10777</v>
      </c>
      <c r="K85" s="37">
        <f>+'New Year-Full Year'!V133</f>
        <v>10500</v>
      </c>
      <c r="L85" s="3">
        <f t="shared" ref="L85:L92" si="22">IF(K85=0,"NA",(+J85-K85)/K85)</f>
        <v>2.638095238095238E-2</v>
      </c>
    </row>
    <row r="86" spans="1:12" x14ac:dyDescent="0.35">
      <c r="A86" s="42">
        <v>143</v>
      </c>
      <c r="C86" s="1" t="str">
        <f>+'New Year-Full Year'!C134</f>
        <v>Snow Removal</v>
      </c>
      <c r="E86" s="37">
        <f>+'New Year-Full Year'!P134</f>
        <v>6000</v>
      </c>
      <c r="F86" s="37">
        <f>+'New Year-Full Year'!Q134</f>
        <v>6000</v>
      </c>
      <c r="G86" s="37">
        <f>+E86-F86</f>
        <v>0</v>
      </c>
      <c r="H86" s="3">
        <f t="shared" si="21"/>
        <v>0</v>
      </c>
      <c r="J86" s="37">
        <f>+'New Year-Full Year'!U134</f>
        <v>3118</v>
      </c>
      <c r="K86" s="37">
        <f>+'New Year-Full Year'!V134</f>
        <v>4800</v>
      </c>
      <c r="L86" s="3">
        <f t="shared" si="22"/>
        <v>-0.35041666666666665</v>
      </c>
    </row>
    <row r="87" spans="1:12" x14ac:dyDescent="0.35">
      <c r="A87" s="42">
        <v>144</v>
      </c>
      <c r="C87" s="1" t="str">
        <f>+'New Year-Full Year'!C135</f>
        <v>Maint.  Supplies</v>
      </c>
      <c r="E87" s="37">
        <f>+'New Year-Full Year'!P135</f>
        <v>4500</v>
      </c>
      <c r="F87" s="37">
        <f>+'New Year-Full Year'!Q135</f>
        <v>4500</v>
      </c>
      <c r="G87" s="37">
        <f>+E87-F87</f>
        <v>0</v>
      </c>
      <c r="H87" s="3">
        <f t="shared" si="21"/>
        <v>0</v>
      </c>
      <c r="J87" s="37">
        <f>+'New Year-Full Year'!U135</f>
        <v>2919.36</v>
      </c>
      <c r="K87" s="37">
        <f>+'New Year-Full Year'!V135</f>
        <v>3375</v>
      </c>
      <c r="L87" s="3">
        <f t="shared" si="22"/>
        <v>-0.1350044444444444</v>
      </c>
    </row>
    <row r="88" spans="1:12" ht="15" customHeight="1" x14ac:dyDescent="0.35">
      <c r="A88" s="42">
        <v>145</v>
      </c>
      <c r="C88" s="1" t="str">
        <f>+'New Year-Full Year'!C136</f>
        <v>Maintenance Contracts</v>
      </c>
      <c r="D88" s="71"/>
      <c r="E88" s="37">
        <f>+'New Year-Full Year'!P136</f>
        <v>6000</v>
      </c>
      <c r="F88" s="37">
        <f>+'New Year-Full Year'!Q136</f>
        <v>6000</v>
      </c>
      <c r="G88" s="37">
        <f>+E88-F88</f>
        <v>0</v>
      </c>
      <c r="H88" s="3">
        <f t="shared" si="21"/>
        <v>0</v>
      </c>
      <c r="J88" s="37">
        <f>+'New Year-Full Year'!U136</f>
        <v>4518.9799999999996</v>
      </c>
      <c r="K88" s="37">
        <f>+'New Year-Full Year'!V136</f>
        <v>4500</v>
      </c>
      <c r="L88" s="3">
        <f t="shared" si="22"/>
        <v>4.2177777777776806E-3</v>
      </c>
    </row>
    <row r="89" spans="1:12" x14ac:dyDescent="0.35">
      <c r="A89" s="42">
        <v>146</v>
      </c>
      <c r="C89" s="1" t="str">
        <f>+'New Year-Full Year'!C137</f>
        <v>Building Repairs</v>
      </c>
      <c r="E89" s="37">
        <f>+'New Year-Full Year'!P137</f>
        <v>10000</v>
      </c>
      <c r="F89" s="37">
        <f>+'New Year-Full Year'!Q137</f>
        <v>10000</v>
      </c>
      <c r="G89" s="37">
        <f>+E89-F89</f>
        <v>0</v>
      </c>
      <c r="H89" s="3">
        <f t="shared" si="21"/>
        <v>0</v>
      </c>
      <c r="J89" s="37">
        <f>+'New Year-Full Year'!U137</f>
        <v>2413.9299999999998</v>
      </c>
      <c r="K89" s="37">
        <f>+'New Year-Full Year'!V137</f>
        <v>7499.97</v>
      </c>
      <c r="L89" s="3">
        <f t="shared" si="22"/>
        <v>-0.67814137923218365</v>
      </c>
    </row>
    <row r="90" spans="1:12" hidden="1" x14ac:dyDescent="0.35">
      <c r="A90" s="42">
        <v>149</v>
      </c>
      <c r="C90" s="1" t="str">
        <f>+'New Year-Full Year'!C138</f>
        <v>Interest-Line of Credit</v>
      </c>
      <c r="E90" s="37">
        <f>+'New Year-Full Year'!P138</f>
        <v>0</v>
      </c>
      <c r="F90" s="37">
        <f>+'New Year-Full Year'!Q138</f>
        <v>0</v>
      </c>
      <c r="G90" s="37"/>
      <c r="H90" s="3" t="str">
        <f t="shared" si="21"/>
        <v>NA</v>
      </c>
      <c r="J90" s="37">
        <f>+'New Year-Full Year'!U138</f>
        <v>0</v>
      </c>
      <c r="K90" s="37">
        <f>+'New Year-Full Year'!V138</f>
        <v>0</v>
      </c>
      <c r="L90" s="3" t="str">
        <f t="shared" si="22"/>
        <v>NA</v>
      </c>
    </row>
    <row r="91" spans="1:12" s="2" customFormat="1" x14ac:dyDescent="0.35">
      <c r="A91" s="42">
        <v>150</v>
      </c>
      <c r="B91" s="26" t="str">
        <f>+'New Year-Full Year'!B139</f>
        <v>Total Church Maintenance</v>
      </c>
      <c r="C91" s="26"/>
      <c r="D91" s="26"/>
      <c r="E91" s="26">
        <f>SUM(E85:E90)</f>
        <v>40500</v>
      </c>
      <c r="F91" s="26">
        <f>SUM(F85:F90)</f>
        <v>40500</v>
      </c>
      <c r="G91" s="26">
        <f>SUM(G85:G90)</f>
        <v>0</v>
      </c>
      <c r="H91" s="27">
        <f t="shared" si="21"/>
        <v>0</v>
      </c>
      <c r="J91" s="26">
        <f>SUM(J85:J90)</f>
        <v>23747.27</v>
      </c>
      <c r="K91" s="26">
        <f>SUM(K85:K90)</f>
        <v>30674.97</v>
      </c>
      <c r="L91" s="27">
        <f t="shared" si="22"/>
        <v>-0.2258421116630269</v>
      </c>
    </row>
    <row r="92" spans="1:12" x14ac:dyDescent="0.35">
      <c r="A92" s="42">
        <v>151</v>
      </c>
      <c r="B92" s="26" t="str">
        <f>+'New Year-Full Year'!B140</f>
        <v>TOTAL FACILITIES</v>
      </c>
      <c r="C92" s="26"/>
      <c r="D92" s="26"/>
      <c r="E92" s="26">
        <f>+E83+E91</f>
        <v>76906.8</v>
      </c>
      <c r="F92" s="26">
        <f>+F83+F91</f>
        <v>75150</v>
      </c>
      <c r="G92" s="26">
        <f>+G83+G91</f>
        <v>1756.8000000000002</v>
      </c>
      <c r="H92" s="27">
        <f t="shared" si="21"/>
        <v>2.3377245508982073E-2</v>
      </c>
      <c r="J92" s="26">
        <f>+J83+J91</f>
        <v>55364.610000000008</v>
      </c>
      <c r="K92" s="26">
        <f>+K83+K91</f>
        <v>56749.97</v>
      </c>
      <c r="L92" s="27">
        <f t="shared" si="22"/>
        <v>-2.441164286078025E-2</v>
      </c>
    </row>
    <row r="93" spans="1:12" ht="23" customHeight="1" x14ac:dyDescent="0.35">
      <c r="A93" s="42">
        <v>154</v>
      </c>
      <c r="B93" s="744" t="str">
        <f>+'New Year-Full Year'!B141</f>
        <v>Restricted Funds</v>
      </c>
      <c r="H93" s="38"/>
    </row>
    <row r="94" spans="1:12" ht="14.5" customHeight="1" x14ac:dyDescent="0.35">
      <c r="B94" s="744"/>
      <c r="C94" s="1" t="str">
        <f>'New Year-Full Year'!C142</f>
        <v>Misc. Expense</v>
      </c>
      <c r="E94" s="37">
        <f>SUM('New Year-Full Year'!P142:P142)</f>
        <v>0</v>
      </c>
      <c r="F94" s="37">
        <f>SUM('New Year-Full Year'!Q142:Q142)</f>
        <v>0</v>
      </c>
      <c r="G94" s="37">
        <f t="shared" ref="G94:G99" si="23">+E94-F94</f>
        <v>0</v>
      </c>
      <c r="H94" s="3" t="str">
        <f>IF(F94=0,"NA",(+E94-F94)/F94)</f>
        <v>NA</v>
      </c>
      <c r="J94" s="37">
        <f>SUM('New Year-Full Year'!U142:U142)</f>
        <v>0</v>
      </c>
      <c r="K94" s="37">
        <f>SUM('New Year-Full Year'!V142:V142)</f>
        <v>0</v>
      </c>
      <c r="L94" s="3" t="str">
        <f>IF(K94=0,"NA",(+J94-K94)/K94)</f>
        <v>NA</v>
      </c>
    </row>
    <row r="95" spans="1:12" x14ac:dyDescent="0.35">
      <c r="A95" s="42">
        <v>155</v>
      </c>
      <c r="C95" s="1" t="str">
        <f>'New Year-Full Year'!C143</f>
        <v>Operating Fund Reserve</v>
      </c>
      <c r="E95" s="37">
        <f>SUM('New Year-Full Year'!P143:P143)</f>
        <v>0</v>
      </c>
      <c r="F95" s="37">
        <f>SUM('New Year-Full Year'!Q143:Q143)</f>
        <v>0</v>
      </c>
      <c r="G95" s="37">
        <f t="shared" si="23"/>
        <v>0</v>
      </c>
      <c r="H95" s="3" t="str">
        <f t="shared" ref="H95:H101" si="24">IF(F95=0,"NA",(+E95-F95)/F95)</f>
        <v>NA</v>
      </c>
      <c r="J95" s="37">
        <f>SUM('New Year-Full Year'!U143:U143)</f>
        <v>0</v>
      </c>
      <c r="K95" s="37">
        <f>SUM('New Year-Full Year'!V143:V143)</f>
        <v>0</v>
      </c>
      <c r="L95" s="3" t="str">
        <f t="shared" ref="L95:L101" si="25">IF(K95=0,"NA",(+J95-K95)/K95)</f>
        <v>NA</v>
      </c>
    </row>
    <row r="96" spans="1:12" hidden="1" x14ac:dyDescent="0.35">
      <c r="C96" s="1" t="str">
        <f>'New Year-Full Year'!C144</f>
        <v>Pastor Transition</v>
      </c>
      <c r="E96" s="37">
        <f>SUM('New Year-Full Year'!P144:P144)</f>
        <v>0</v>
      </c>
      <c r="F96" s="37">
        <f>SUM('New Year-Full Year'!Q144:Q144)</f>
        <v>0</v>
      </c>
      <c r="G96" s="37">
        <f t="shared" si="23"/>
        <v>0</v>
      </c>
      <c r="H96" s="3" t="str">
        <f>IF(F96=0,"NA",(+E96-F96)/F96)</f>
        <v>NA</v>
      </c>
      <c r="J96" s="37">
        <f>SUM('New Year-Full Year'!U144:U144)</f>
        <v>0</v>
      </c>
      <c r="K96" s="37">
        <f>SUM('New Year-Full Year'!V144:V144)</f>
        <v>0</v>
      </c>
      <c r="L96" s="3" t="str">
        <f>IF(K96=0,"NA",(+J96-K96)/K96)</f>
        <v>NA</v>
      </c>
    </row>
    <row r="97" spans="1:12" ht="14.5" customHeight="1" x14ac:dyDescent="0.35">
      <c r="A97" s="42">
        <v>156</v>
      </c>
      <c r="C97" s="1" t="str">
        <f>'New Year-Full Year'!C145</f>
        <v>Facilities Fund Reserve</v>
      </c>
      <c r="E97" s="37">
        <f>+'New Year-Full Year'!P145</f>
        <v>0</v>
      </c>
      <c r="F97" s="37">
        <f>+'New Year-Full Year'!Q145</f>
        <v>0</v>
      </c>
      <c r="G97" s="37">
        <f t="shared" si="23"/>
        <v>0</v>
      </c>
      <c r="H97" s="3" t="str">
        <f t="shared" si="24"/>
        <v>NA</v>
      </c>
      <c r="J97" s="37">
        <f>+'New Year-Full Year'!U145</f>
        <v>0</v>
      </c>
      <c r="K97" s="37">
        <f>+'New Year-Full Year'!V145</f>
        <v>0</v>
      </c>
      <c r="L97" s="3" t="str">
        <f t="shared" si="25"/>
        <v>NA</v>
      </c>
    </row>
    <row r="98" spans="1:12" ht="14.5" hidden="1" customHeight="1" x14ac:dyDescent="0.35">
      <c r="A98" s="42">
        <v>157</v>
      </c>
      <c r="C98" s="1" t="str">
        <f>'New Year-Full Year'!C146</f>
        <v>Facilities Maintenance</v>
      </c>
      <c r="E98" s="37">
        <f>+'New Year-Full Year'!P146</f>
        <v>0</v>
      </c>
      <c r="F98" s="37">
        <f>+'New Year-Full Year'!Q146</f>
        <v>0</v>
      </c>
      <c r="G98" s="37">
        <f t="shared" si="23"/>
        <v>0</v>
      </c>
      <c r="H98" s="3" t="str">
        <f t="shared" si="24"/>
        <v>NA</v>
      </c>
      <c r="J98" s="37">
        <f>+'New Year-Full Year'!U146</f>
        <v>0</v>
      </c>
      <c r="K98" s="37">
        <f>+'New Year-Full Year'!V146</f>
        <v>0</v>
      </c>
      <c r="L98" s="743" t="s">
        <v>421</v>
      </c>
    </row>
    <row r="99" spans="1:12" x14ac:dyDescent="0.35">
      <c r="C99" s="1" t="s">
        <v>168</v>
      </c>
      <c r="E99" s="37">
        <f>+'New Year-Full Year'!P147</f>
        <v>0</v>
      </c>
      <c r="F99" s="37">
        <f>+'New Year-Full Year'!Q147</f>
        <v>0</v>
      </c>
      <c r="G99" s="37">
        <f t="shared" si="23"/>
        <v>0</v>
      </c>
      <c r="H99" s="3" t="str">
        <f t="shared" si="24"/>
        <v>NA</v>
      </c>
      <c r="J99" s="37">
        <f>+'New Year-Full Year'!U147</f>
        <v>0</v>
      </c>
      <c r="K99" s="37">
        <f>+'New Year-Full Year'!V147</f>
        <v>0</v>
      </c>
      <c r="L99" s="3" t="str">
        <f t="shared" si="25"/>
        <v>NA</v>
      </c>
    </row>
    <row r="100" spans="1:12" hidden="1" x14ac:dyDescent="0.35">
      <c r="A100" s="42">
        <v>158</v>
      </c>
      <c r="C100" s="1" t="str">
        <f>'New Year-Full Year'!C148</f>
        <v>Line of Credit Payment</v>
      </c>
      <c r="E100" s="37">
        <f>+'New Year-Full Year'!P148</f>
        <v>0</v>
      </c>
      <c r="F100" s="37">
        <f>+'New Year-Full Year'!Q148</f>
        <v>0</v>
      </c>
      <c r="G100" s="37"/>
      <c r="H100" s="3" t="str">
        <f t="shared" si="24"/>
        <v>NA</v>
      </c>
      <c r="J100" s="37">
        <f>+'New Year-Full Year'!U148</f>
        <v>0</v>
      </c>
      <c r="K100" s="37">
        <f>+'New Year-Full Year'!V148</f>
        <v>0</v>
      </c>
      <c r="L100" s="3" t="str">
        <f t="shared" si="25"/>
        <v>NA</v>
      </c>
    </row>
    <row r="101" spans="1:12" s="2" customFormat="1" x14ac:dyDescent="0.35">
      <c r="A101" s="42">
        <v>159</v>
      </c>
      <c r="B101" s="28" t="str">
        <f>+'New Year-Full Year'!B149</f>
        <v>Total Restricted Funds</v>
      </c>
      <c r="C101" s="28"/>
      <c r="D101" s="28"/>
      <c r="E101" s="28">
        <f>SUM(E94:E100)</f>
        <v>0</v>
      </c>
      <c r="F101" s="28">
        <f>SUM(F94:F100)</f>
        <v>0</v>
      </c>
      <c r="G101" s="28">
        <f>SUM(G94:G100)</f>
        <v>0</v>
      </c>
      <c r="H101" s="29" t="str">
        <f t="shared" si="24"/>
        <v>NA</v>
      </c>
      <c r="J101" s="28">
        <f>SUM(J94:J100)</f>
        <v>0</v>
      </c>
      <c r="K101" s="28">
        <f>SUM(K94:K100)</f>
        <v>0</v>
      </c>
      <c r="L101" s="29" t="str">
        <f t="shared" si="25"/>
        <v>NA</v>
      </c>
    </row>
    <row r="102" spans="1:12" ht="7.5" customHeight="1" x14ac:dyDescent="0.35">
      <c r="A102" s="42">
        <v>160</v>
      </c>
      <c r="H102" s="38"/>
    </row>
    <row r="103" spans="1:12" x14ac:dyDescent="0.35">
      <c r="A103" s="42">
        <v>161</v>
      </c>
      <c r="B103" s="30" t="str">
        <f>+'New Year-Full Year'!B151</f>
        <v>TOTAL EXPENSES</v>
      </c>
      <c r="C103" s="31"/>
      <c r="D103" s="31"/>
      <c r="E103" s="30" t="e">
        <f>+E67+E92+E101+E30+E74</f>
        <v>#REF!</v>
      </c>
      <c r="F103" s="30" t="e">
        <f>+F67+F92+F101+F30+F74</f>
        <v>#REF!</v>
      </c>
      <c r="G103" s="30" t="e">
        <f>+G67+G92+G101+G30+G74</f>
        <v>#REF!</v>
      </c>
      <c r="H103" s="32" t="e">
        <f>IF(F103=0,"NA",(+E103-F103)/F103)</f>
        <v>#REF!</v>
      </c>
      <c r="J103" s="30" t="e">
        <f>+J67+J92+J101+J30+J74</f>
        <v>#REF!</v>
      </c>
      <c r="K103" s="30" t="e">
        <f>+K67+K92+K101+K30+K74</f>
        <v>#REF!</v>
      </c>
      <c r="L103" s="32" t="e">
        <f>IF(K103=0,"NA",(+J103-K103)/K103)</f>
        <v>#REF!</v>
      </c>
    </row>
    <row r="104" spans="1:12" x14ac:dyDescent="0.35">
      <c r="A104" s="42">
        <v>162</v>
      </c>
      <c r="B104" s="30" t="str">
        <f>+'New Year-Full Year'!B152</f>
        <v>Income less Expense</v>
      </c>
      <c r="C104" s="31"/>
      <c r="D104" s="31"/>
      <c r="E104" s="30" t="e">
        <f>ROUND(E18-E103,0)</f>
        <v>#REF!</v>
      </c>
      <c r="F104" s="30" t="e">
        <f>ROUND(F18-F103,0)</f>
        <v>#REF!</v>
      </c>
      <c r="G104" s="30" t="e">
        <f>ROUND(G18-G103,0)</f>
        <v>#REF!</v>
      </c>
      <c r="H104" s="32" t="e">
        <f>IF(F104=0,"NA",(+E104-F104)/F104)</f>
        <v>#REF!</v>
      </c>
      <c r="J104" s="30" t="e">
        <f>ROUND(J18-J103,0)</f>
        <v>#REF!</v>
      </c>
      <c r="K104" s="30" t="e">
        <f>ROUND(K18-K103,0)</f>
        <v>#REF!</v>
      </c>
      <c r="L104" s="32" t="e">
        <f>IF(K104=0,"NA",(+J104-K104)/K104)</f>
        <v>#REF!</v>
      </c>
    </row>
    <row r="105" spans="1:12" ht="7.25" customHeight="1" x14ac:dyDescent="0.35">
      <c r="H105" s="38"/>
    </row>
    <row r="106" spans="1:12" hidden="1" x14ac:dyDescent="0.35">
      <c r="B106" s="97" t="str">
        <f>+'New Year-Full Year'!B154</f>
        <v>Operating Income</v>
      </c>
      <c r="C106" s="98"/>
      <c r="D106" s="98"/>
      <c r="E106" s="113">
        <f>+E18-E16</f>
        <v>416000</v>
      </c>
      <c r="F106" s="113">
        <f>+F18-F16</f>
        <v>416000</v>
      </c>
      <c r="G106" s="113">
        <f>+G18-G16</f>
        <v>0</v>
      </c>
      <c r="H106" s="102">
        <f>IF(F106=0,"NA",(+E106-F106)/F106)</f>
        <v>0</v>
      </c>
      <c r="I106" s="99"/>
      <c r="J106" s="113">
        <f>+J18-J16</f>
        <v>324162.19</v>
      </c>
      <c r="K106" s="113">
        <f>+K18-K16</f>
        <v>304419.99</v>
      </c>
      <c r="L106" s="103">
        <f>IF(K106=0,"NA",(+J106-K106)/K106)</f>
        <v>6.4851851548907852E-2</v>
      </c>
    </row>
    <row r="107" spans="1:12" hidden="1" x14ac:dyDescent="0.35">
      <c r="B107" s="104" t="str">
        <f>+'New Year-Full Year'!B155</f>
        <v>Operating Expenses</v>
      </c>
      <c r="C107" s="92"/>
      <c r="D107" s="92"/>
      <c r="E107" s="114" t="e">
        <f>+E103-E101</f>
        <v>#REF!</v>
      </c>
      <c r="F107" s="114" t="e">
        <f>+F103-F101</f>
        <v>#REF!</v>
      </c>
      <c r="G107" s="114" t="e">
        <f>+G103-G101</f>
        <v>#REF!</v>
      </c>
      <c r="H107" s="96" t="e">
        <f>IF(F107=0,"NA",(+E107-F107)/F107)</f>
        <v>#REF!</v>
      </c>
      <c r="I107" s="93"/>
      <c r="J107" s="114" t="e">
        <f>+J103-J101</f>
        <v>#REF!</v>
      </c>
      <c r="K107" s="114" t="e">
        <f>+K103-K101</f>
        <v>#REF!</v>
      </c>
      <c r="L107" s="105" t="e">
        <f>IF(K107=0,"NA",(+J107-K107)/K107)</f>
        <v>#REF!</v>
      </c>
    </row>
    <row r="108" spans="1:12" ht="15" hidden="1" thickBot="1" x14ac:dyDescent="0.4">
      <c r="B108" s="106" t="str">
        <f>+'New Year-Full Year'!B156</f>
        <v>Net Operating Income/(Loss)</v>
      </c>
      <c r="C108" s="107"/>
      <c r="D108" s="107"/>
      <c r="E108" s="115" t="e">
        <f>+E106-E107</f>
        <v>#REF!</v>
      </c>
      <c r="F108" s="115" t="e">
        <f>+F106-F107</f>
        <v>#REF!</v>
      </c>
      <c r="G108" s="115" t="e">
        <f>+G106-G107</f>
        <v>#REF!</v>
      </c>
      <c r="H108" s="742" t="s">
        <v>421</v>
      </c>
      <c r="I108" s="109"/>
      <c r="J108" s="115" t="e">
        <f>+J106-J107</f>
        <v>#REF!</v>
      </c>
      <c r="K108" s="115" t="e">
        <f>+K106-K107</f>
        <v>#REF!</v>
      </c>
      <c r="L108" s="741" t="s">
        <v>421</v>
      </c>
    </row>
    <row r="109" spans="1:12" ht="5" customHeight="1" x14ac:dyDescent="0.35">
      <c r="H109" s="38"/>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14" customWidth="1"/>
    <col min="2" max="2" width="39.6328125" style="614" customWidth="1"/>
    <col min="3" max="3" width="15" style="614" hidden="1" customWidth="1"/>
    <col min="4" max="4" width="1.453125" style="641" customWidth="1"/>
    <col min="5" max="6" width="16" style="614" customWidth="1"/>
    <col min="7" max="7" width="1.453125" style="614" customWidth="1"/>
    <col min="8" max="8" width="16.08984375" style="614" customWidth="1"/>
    <col min="9" max="9" width="1.453125" style="614" customWidth="1"/>
    <col min="10" max="10" width="16.08984375" style="614" customWidth="1"/>
    <col min="11" max="16384" width="8.7265625" style="614"/>
  </cols>
  <sheetData>
    <row r="1" spans="1:11" ht="26" x14ac:dyDescent="0.6">
      <c r="B1" s="1377" t="s">
        <v>82</v>
      </c>
      <c r="C1" s="1377"/>
      <c r="D1" s="1377"/>
      <c r="E1" s="1377"/>
      <c r="F1" s="1377"/>
      <c r="G1" s="1377"/>
      <c r="H1" s="1377"/>
      <c r="I1" s="1377"/>
      <c r="J1" s="1377"/>
    </row>
    <row r="2" spans="1:11" x14ac:dyDescent="0.5">
      <c r="D2" s="643"/>
    </row>
    <row r="3" spans="1:11" x14ac:dyDescent="0.5">
      <c r="D3" s="645"/>
      <c r="E3" s="1375">
        <v>2020</v>
      </c>
      <c r="F3" s="1376"/>
      <c r="G3" s="652"/>
      <c r="H3" s="632">
        <v>2021</v>
      </c>
      <c r="I3" s="656"/>
      <c r="J3" s="646"/>
    </row>
    <row r="4" spans="1:11" ht="53" customHeight="1" x14ac:dyDescent="0.5">
      <c r="B4" s="626"/>
      <c r="C4" s="621" t="s">
        <v>371</v>
      </c>
      <c r="D4" s="648"/>
      <c r="E4" s="621" t="s">
        <v>354</v>
      </c>
      <c r="F4" s="621" t="s">
        <v>368</v>
      </c>
      <c r="G4" s="653"/>
      <c r="H4" s="621" t="s">
        <v>369</v>
      </c>
      <c r="I4" s="657"/>
      <c r="J4" s="621" t="s">
        <v>370</v>
      </c>
      <c r="K4" s="626"/>
    </row>
    <row r="5" spans="1:11" x14ac:dyDescent="0.5">
      <c r="B5" s="626" t="s">
        <v>363</v>
      </c>
      <c r="C5" s="642"/>
      <c r="D5" s="638"/>
      <c r="E5" s="619">
        <v>56200</v>
      </c>
      <c r="F5" s="619" t="e">
        <f>+'Summary New Year'!J108</f>
        <v>#REF!</v>
      </c>
      <c r="G5" s="624"/>
      <c r="H5" s="619">
        <f>+'New Year-Full Year'!P156</f>
        <v>-0.17599999997764826</v>
      </c>
      <c r="I5" s="635"/>
      <c r="J5" s="637"/>
      <c r="K5" s="626"/>
    </row>
    <row r="6" spans="1:11" x14ac:dyDescent="0.5">
      <c r="B6" s="626" t="s">
        <v>362</v>
      </c>
      <c r="C6" s="643"/>
      <c r="D6" s="638"/>
      <c r="E6" s="617">
        <v>5000</v>
      </c>
      <c r="F6" s="617"/>
      <c r="G6" s="624"/>
      <c r="H6" s="636"/>
      <c r="I6" s="635"/>
      <c r="J6" s="638"/>
      <c r="K6" s="626"/>
    </row>
    <row r="7" spans="1:11" x14ac:dyDescent="0.5">
      <c r="B7" s="647" t="s">
        <v>365</v>
      </c>
      <c r="C7" s="644"/>
      <c r="D7" s="639"/>
      <c r="E7" s="622">
        <f>+E5-E6</f>
        <v>51200</v>
      </c>
      <c r="F7" s="622" t="e">
        <f>+F5-F6</f>
        <v>#REF!</v>
      </c>
      <c r="G7" s="634"/>
      <c r="H7" s="622">
        <f>+H5-H6</f>
        <v>-0.17599999997764826</v>
      </c>
      <c r="I7" s="639"/>
      <c r="J7" s="639"/>
      <c r="K7" s="626"/>
    </row>
    <row r="8" spans="1:11" x14ac:dyDescent="0.5">
      <c r="B8" s="626"/>
      <c r="D8" s="643"/>
      <c r="G8" s="626"/>
      <c r="I8" s="626"/>
      <c r="K8" s="626"/>
    </row>
    <row r="9" spans="1:11" x14ac:dyDescent="0.5">
      <c r="B9" s="647" t="s">
        <v>355</v>
      </c>
      <c r="D9" s="643"/>
      <c r="G9" s="626"/>
      <c r="I9" s="626"/>
      <c r="K9" s="626"/>
    </row>
    <row r="10" spans="1:11" x14ac:dyDescent="0.5">
      <c r="A10" s="615" t="s">
        <v>356</v>
      </c>
      <c r="B10" s="626" t="s">
        <v>367</v>
      </c>
      <c r="C10" s="619">
        <v>13765.63</v>
      </c>
      <c r="D10" s="649"/>
      <c r="E10" s="618"/>
      <c r="F10" s="623">
        <v>20000</v>
      </c>
      <c r="G10" s="633"/>
      <c r="H10" s="619"/>
      <c r="I10" s="638"/>
      <c r="J10" s="659">
        <f>SUM(C10:H10)</f>
        <v>33765.629999999997</v>
      </c>
      <c r="K10" s="626"/>
    </row>
    <row r="11" spans="1:11" x14ac:dyDescent="0.5">
      <c r="A11" s="615" t="s">
        <v>357</v>
      </c>
      <c r="B11" s="626" t="s">
        <v>360</v>
      </c>
      <c r="C11" s="636">
        <v>29502.66</v>
      </c>
      <c r="D11" s="649"/>
      <c r="E11" s="629">
        <f>+$E$7/2</f>
        <v>25600</v>
      </c>
      <c r="F11" s="625">
        <v>10000</v>
      </c>
      <c r="G11" s="633"/>
      <c r="H11" s="636">
        <f>+'New Year-Full Year'!P143</f>
        <v>0</v>
      </c>
      <c r="I11" s="638"/>
      <c r="J11" s="629">
        <f>SUM(C11:H11)</f>
        <v>65102.66</v>
      </c>
      <c r="K11" s="626"/>
    </row>
    <row r="12" spans="1:11" x14ac:dyDescent="0.5">
      <c r="A12" s="615" t="s">
        <v>358</v>
      </c>
      <c r="B12" s="626" t="s">
        <v>366</v>
      </c>
      <c r="C12" s="636">
        <v>168816.55</v>
      </c>
      <c r="D12" s="650"/>
      <c r="E12" s="630"/>
      <c r="F12" s="627" t="e">
        <f>+F7-F10-F11</f>
        <v>#REF!</v>
      </c>
      <c r="G12" s="654"/>
      <c r="H12" s="640"/>
      <c r="I12" s="658"/>
      <c r="J12" s="640" t="e">
        <f>SUM(C12:H12)</f>
        <v>#REF!</v>
      </c>
      <c r="K12" s="626"/>
    </row>
    <row r="13" spans="1:11" x14ac:dyDescent="0.5">
      <c r="A13" s="615" t="s">
        <v>359</v>
      </c>
      <c r="B13" s="626" t="s">
        <v>361</v>
      </c>
      <c r="C13" s="617">
        <v>29502.66</v>
      </c>
      <c r="D13" s="620"/>
      <c r="E13" s="631">
        <f>+$E$7/2</f>
        <v>25600</v>
      </c>
      <c r="F13" s="628"/>
      <c r="G13" s="655"/>
      <c r="H13" s="616"/>
      <c r="I13" s="643"/>
      <c r="J13" s="631">
        <f>SUM(C13:H13)</f>
        <v>55102.66</v>
      </c>
      <c r="K13" s="626"/>
    </row>
    <row r="14" spans="1:11" x14ac:dyDescent="0.5">
      <c r="B14" s="647" t="s">
        <v>364</v>
      </c>
      <c r="C14" s="622">
        <f>SUM(C10:C13)</f>
        <v>241587.5</v>
      </c>
      <c r="D14" s="651"/>
      <c r="E14" s="622">
        <f>SUM(E10:E13)</f>
        <v>51200</v>
      </c>
      <c r="F14" s="622" t="e">
        <f>SUM(F10:F13)</f>
        <v>#REF!</v>
      </c>
      <c r="G14" s="634"/>
      <c r="H14" s="622">
        <f>SUM(H10:H13)</f>
        <v>0</v>
      </c>
      <c r="I14" s="639"/>
      <c r="J14" s="622" t="e">
        <f>SUM(J10:J13)</f>
        <v>#REF!</v>
      </c>
      <c r="K14" s="626"/>
    </row>
  </sheetData>
  <mergeCells count="2">
    <mergeCell ref="E3:F3"/>
    <mergeCell ref="B1:J1"/>
  </mergeCells>
  <pageMargins left="0.7" right="0.7" top="0.75" bottom="0.75" header="0.3" footer="0.3"/>
  <pageSetup orientation="landscape" horizontalDpi="0"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08" customWidth="1"/>
    <col min="2" max="2" width="15.7265625" style="608" customWidth="1"/>
    <col min="3" max="3" width="100.453125" style="608" customWidth="1"/>
    <col min="4" max="16384" width="8.7265625" style="608"/>
  </cols>
  <sheetData>
    <row r="1" spans="1:3" ht="26" x14ac:dyDescent="0.35">
      <c r="A1" s="1378" t="s">
        <v>340</v>
      </c>
      <c r="B1" s="1378"/>
      <c r="C1" s="1378"/>
    </row>
    <row r="3" spans="1:3" ht="42" customHeight="1" x14ac:dyDescent="0.35">
      <c r="A3" s="609" t="s">
        <v>341</v>
      </c>
      <c r="B3" s="611">
        <v>3000</v>
      </c>
      <c r="C3" s="610" t="s">
        <v>350</v>
      </c>
    </row>
    <row r="4" spans="1:3" ht="42" customHeight="1" x14ac:dyDescent="0.35">
      <c r="A4" s="609" t="s">
        <v>342</v>
      </c>
      <c r="B4" s="611">
        <v>4000</v>
      </c>
      <c r="C4" s="610" t="s">
        <v>344</v>
      </c>
    </row>
    <row r="5" spans="1:3" ht="42" customHeight="1" x14ac:dyDescent="0.35">
      <c r="A5" s="609" t="s">
        <v>343</v>
      </c>
      <c r="B5" s="611">
        <v>2759</v>
      </c>
      <c r="C5" s="610" t="s">
        <v>348</v>
      </c>
    </row>
    <row r="6" spans="1:3" ht="42" customHeight="1" x14ac:dyDescent="0.35">
      <c r="A6" s="609" t="s">
        <v>346</v>
      </c>
      <c r="B6" s="611">
        <v>8000</v>
      </c>
      <c r="C6" s="610" t="s">
        <v>345</v>
      </c>
    </row>
    <row r="7" spans="1:3" ht="42" customHeight="1" x14ac:dyDescent="0.35">
      <c r="A7" s="609" t="s">
        <v>347</v>
      </c>
      <c r="B7" s="611">
        <v>8185</v>
      </c>
      <c r="C7" s="610" t="s">
        <v>349</v>
      </c>
    </row>
  </sheetData>
  <mergeCells count="1">
    <mergeCell ref="A1:C1"/>
  </mergeCells>
  <pageMargins left="0.7" right="0.7" top="0.75" bottom="0.75" header="0.3" footer="0.3"/>
  <pageSetup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2" customWidth="1"/>
    <col min="2" max="2" width="38.453125" style="132" customWidth="1"/>
    <col min="3" max="3" width="13.90625" style="196" hidden="1" customWidth="1"/>
    <col min="4" max="5" width="13.90625" style="132" hidden="1" customWidth="1"/>
    <col min="6" max="6" width="8.7265625" style="132" hidden="1" customWidth="1"/>
    <col min="7" max="7" width="9.81640625" style="132" hidden="1" customWidth="1"/>
    <col min="8" max="8" width="11.90625" style="132" hidden="1" customWidth="1"/>
    <col min="9" max="11" width="13.90625" style="132" customWidth="1"/>
    <col min="12" max="16384" width="8.7265625" style="132"/>
  </cols>
  <sheetData>
    <row r="1" spans="1:11" ht="21" x14ac:dyDescent="0.35">
      <c r="A1" s="1166" t="s">
        <v>317</v>
      </c>
      <c r="B1" s="1166"/>
      <c r="C1" s="1166"/>
      <c r="D1" s="1166"/>
      <c r="E1" s="1166"/>
      <c r="F1" s="1166"/>
      <c r="G1" s="1166"/>
      <c r="H1" s="1166"/>
      <c r="I1" s="1166"/>
      <c r="J1" s="1166"/>
      <c r="K1" s="1166"/>
    </row>
    <row r="2" spans="1:11" s="774" customFormat="1" ht="10" customHeight="1" x14ac:dyDescent="0.35">
      <c r="B2" s="775"/>
      <c r="C2" s="776"/>
      <c r="D2" s="776"/>
      <c r="E2" s="777"/>
      <c r="I2" s="776"/>
      <c r="J2" s="776"/>
      <c r="K2" s="776"/>
    </row>
    <row r="3" spans="1:11" ht="37.5" customHeight="1" x14ac:dyDescent="0.35">
      <c r="C3" s="411" t="s">
        <v>311</v>
      </c>
      <c r="D3" s="389" t="s">
        <v>263</v>
      </c>
      <c r="E3" s="595" t="s">
        <v>424</v>
      </c>
      <c r="G3" s="754"/>
      <c r="H3" s="755"/>
      <c r="I3" s="389" t="s">
        <v>423</v>
      </c>
      <c r="J3" s="411" t="s">
        <v>628</v>
      </c>
      <c r="K3" s="411" t="s">
        <v>629</v>
      </c>
    </row>
    <row r="4" spans="1:11" ht="14.5" customHeight="1" x14ac:dyDescent="0.35">
      <c r="A4" s="1316" t="s">
        <v>314</v>
      </c>
      <c r="B4" s="418" t="s">
        <v>37</v>
      </c>
      <c r="C4" s="412">
        <v>40802</v>
      </c>
      <c r="D4" s="412">
        <v>40802</v>
      </c>
      <c r="E4" s="166">
        <v>42687</v>
      </c>
      <c r="F4" s="1324" t="s">
        <v>425</v>
      </c>
      <c r="G4" s="1325"/>
      <c r="H4" s="1326"/>
      <c r="I4" s="412">
        <v>44553</v>
      </c>
      <c r="J4" s="412">
        <v>7425.5</v>
      </c>
      <c r="K4" s="412">
        <v>44553</v>
      </c>
    </row>
    <row r="5" spans="1:11" ht="15" thickBot="1" x14ac:dyDescent="0.4">
      <c r="A5" s="1317"/>
      <c r="B5" s="164" t="s">
        <v>156</v>
      </c>
      <c r="C5" s="171">
        <v>17487</v>
      </c>
      <c r="D5" s="171">
        <v>17487</v>
      </c>
      <c r="E5" s="415">
        <v>20000</v>
      </c>
      <c r="F5" s="1324"/>
      <c r="G5" s="1325"/>
      <c r="H5" s="1326"/>
      <c r="I5" s="415">
        <v>20000</v>
      </c>
      <c r="J5" s="863">
        <v>3333.3333333333335</v>
      </c>
      <c r="K5" s="415">
        <v>20000</v>
      </c>
    </row>
    <row r="6" spans="1:11" ht="14.5" customHeight="1" x14ac:dyDescent="0.35">
      <c r="A6" s="1317"/>
      <c r="B6" s="164" t="s">
        <v>157</v>
      </c>
      <c r="C6" s="413">
        <v>58289</v>
      </c>
      <c r="D6" s="413">
        <v>58289</v>
      </c>
      <c r="E6" s="175">
        <v>62687</v>
      </c>
      <c r="F6" s="1324"/>
      <c r="G6" s="1325"/>
      <c r="H6" s="1326"/>
      <c r="I6" s="995">
        <v>64553</v>
      </c>
      <c r="J6" s="995">
        <v>10758.833333333334</v>
      </c>
      <c r="K6" s="995">
        <v>64553</v>
      </c>
    </row>
    <row r="7" spans="1:11" ht="7.5" customHeight="1" x14ac:dyDescent="0.35">
      <c r="A7" s="1317"/>
      <c r="B7" s="1379" t="s">
        <v>631</v>
      </c>
      <c r="C7" s="169"/>
      <c r="D7" s="169"/>
      <c r="E7" s="169"/>
      <c r="I7" s="169"/>
      <c r="J7" s="169"/>
      <c r="K7" s="169"/>
    </row>
    <row r="8" spans="1:11" ht="26.5" customHeight="1" x14ac:dyDescent="0.35">
      <c r="A8" s="1317"/>
      <c r="B8" s="1379"/>
      <c r="C8" s="188">
        <v>0</v>
      </c>
      <c r="D8" s="188">
        <v>0</v>
      </c>
      <c r="E8" s="188">
        <v>2400</v>
      </c>
      <c r="I8" s="188">
        <v>2400</v>
      </c>
      <c r="J8" s="395">
        <v>0</v>
      </c>
      <c r="K8" s="188">
        <v>2000</v>
      </c>
    </row>
    <row r="9" spans="1:11" ht="8" customHeight="1" x14ac:dyDescent="0.35">
      <c r="A9" s="1317"/>
      <c r="B9" s="1379"/>
      <c r="C9" s="169"/>
      <c r="D9" s="169"/>
      <c r="E9" s="169"/>
      <c r="I9" s="169"/>
      <c r="J9" s="169"/>
      <c r="K9" s="169"/>
    </row>
    <row r="10" spans="1:11" ht="14.5" customHeight="1" x14ac:dyDescent="0.35">
      <c r="A10" s="1317"/>
      <c r="B10" s="183" t="s">
        <v>178</v>
      </c>
      <c r="C10" s="390">
        <v>58289</v>
      </c>
      <c r="D10" s="390">
        <v>29145</v>
      </c>
      <c r="E10" s="533">
        <v>65087</v>
      </c>
      <c r="I10" s="390">
        <v>66953</v>
      </c>
      <c r="J10" s="390">
        <v>10758.833333333334</v>
      </c>
      <c r="K10" s="390">
        <v>66553</v>
      </c>
    </row>
    <row r="11" spans="1:11" x14ac:dyDescent="0.35">
      <c r="A11" s="1317"/>
      <c r="B11" s="176" t="s">
        <v>272</v>
      </c>
      <c r="C11" s="188">
        <v>4459</v>
      </c>
      <c r="D11" s="188">
        <v>2230</v>
      </c>
      <c r="E11" s="188">
        <v>4979</v>
      </c>
      <c r="F11" s="139"/>
      <c r="I11" s="188">
        <v>5122</v>
      </c>
      <c r="J11" s="188">
        <v>823</v>
      </c>
      <c r="K11" s="188">
        <v>5091</v>
      </c>
    </row>
    <row r="12" spans="1:11" ht="21" customHeight="1" x14ac:dyDescent="0.35">
      <c r="A12" s="1318"/>
      <c r="B12" s="191" t="s">
        <v>180</v>
      </c>
      <c r="C12" s="195">
        <v>62748</v>
      </c>
      <c r="D12" s="195">
        <v>31375</v>
      </c>
      <c r="E12" s="195">
        <v>70066</v>
      </c>
      <c r="I12" s="195">
        <v>72075</v>
      </c>
      <c r="J12" s="195">
        <v>11581.833333333334</v>
      </c>
      <c r="K12" s="195">
        <v>71644</v>
      </c>
    </row>
    <row r="13" spans="1:11" ht="8.5" customHeight="1" x14ac:dyDescent="0.35">
      <c r="B13" s="196"/>
      <c r="D13" s="196"/>
      <c r="E13" s="196"/>
      <c r="I13" s="196"/>
      <c r="J13" s="196"/>
      <c r="K13" s="196"/>
    </row>
    <row r="14" spans="1:11" ht="9.5" customHeight="1" x14ac:dyDescent="0.35">
      <c r="A14" s="1316" t="s">
        <v>274</v>
      </c>
      <c r="B14" s="162"/>
      <c r="C14" s="537"/>
      <c r="D14" s="537"/>
      <c r="E14" s="538"/>
      <c r="I14" s="538"/>
      <c r="J14" s="538"/>
      <c r="K14" s="537"/>
    </row>
    <row r="15" spans="1:11" ht="14.5" customHeight="1" x14ac:dyDescent="0.35">
      <c r="A15" s="1317"/>
      <c r="B15" s="184" t="s">
        <v>630</v>
      </c>
      <c r="C15" s="169"/>
      <c r="D15" s="178"/>
      <c r="E15" s="428">
        <v>0</v>
      </c>
      <c r="F15" s="800"/>
      <c r="G15" s="800"/>
      <c r="H15" s="800"/>
      <c r="I15" s="428">
        <v>0</v>
      </c>
      <c r="J15" s="428">
        <v>3340</v>
      </c>
      <c r="K15" s="396">
        <v>3340</v>
      </c>
    </row>
    <row r="16" spans="1:11" ht="9.5" customHeight="1" x14ac:dyDescent="0.35">
      <c r="A16" s="1318"/>
      <c r="B16" s="191"/>
      <c r="C16" s="534"/>
      <c r="D16" s="748"/>
      <c r="E16" s="195"/>
      <c r="I16" s="195"/>
      <c r="J16" s="195"/>
      <c r="K16" s="195"/>
    </row>
    <row r="17" spans="1:11" ht="7" customHeight="1" x14ac:dyDescent="0.35">
      <c r="B17" s="196"/>
      <c r="D17" s="196"/>
      <c r="E17" s="196"/>
      <c r="I17" s="196"/>
      <c r="J17" s="196"/>
      <c r="K17" s="196"/>
    </row>
    <row r="18" spans="1:11" ht="7" customHeight="1" x14ac:dyDescent="0.35">
      <c r="A18" s="1316" t="s">
        <v>160</v>
      </c>
      <c r="B18" s="197"/>
      <c r="C18" s="416">
        <v>0.1</v>
      </c>
      <c r="D18" s="416">
        <v>0.1</v>
      </c>
      <c r="E18" s="397">
        <v>0.1</v>
      </c>
      <c r="I18" s="397"/>
      <c r="J18" s="397"/>
      <c r="K18" s="397"/>
    </row>
    <row r="19" spans="1:11" x14ac:dyDescent="0.35">
      <c r="A19" s="1317"/>
      <c r="B19" s="176" t="s">
        <v>284</v>
      </c>
      <c r="C19" s="166"/>
      <c r="D19" s="166"/>
      <c r="E19" s="594">
        <v>0.16</v>
      </c>
      <c r="I19" s="594">
        <v>0.16</v>
      </c>
      <c r="J19" s="594">
        <v>0.1</v>
      </c>
      <c r="K19" s="594"/>
    </row>
    <row r="20" spans="1:11" x14ac:dyDescent="0.35">
      <c r="A20" s="1318"/>
      <c r="B20" s="191" t="s">
        <v>187</v>
      </c>
      <c r="C20" s="195">
        <v>6275</v>
      </c>
      <c r="D20" s="195">
        <v>3138</v>
      </c>
      <c r="E20" s="393">
        <v>11211</v>
      </c>
      <c r="I20" s="393">
        <v>11532</v>
      </c>
      <c r="J20" s="393">
        <v>1158</v>
      </c>
      <c r="K20" s="393">
        <v>10665</v>
      </c>
    </row>
    <row r="21" spans="1:11" ht="7" customHeight="1" x14ac:dyDescent="0.35">
      <c r="B21" s="196"/>
      <c r="D21" s="196"/>
      <c r="E21" s="196"/>
      <c r="I21" s="196"/>
      <c r="J21" s="196"/>
      <c r="K21" s="196"/>
    </row>
    <row r="22" spans="1:11" x14ac:dyDescent="0.35">
      <c r="A22" s="1316" t="s">
        <v>161</v>
      </c>
      <c r="B22" s="162" t="s">
        <v>478</v>
      </c>
      <c r="C22" s="416">
        <v>1.4999999999999999E-2</v>
      </c>
      <c r="D22" s="416">
        <v>1.4999999999999999E-2</v>
      </c>
      <c r="E22" s="416">
        <v>1.4999999999999999E-2</v>
      </c>
      <c r="I22" s="416">
        <v>1.4999999999999999E-2</v>
      </c>
      <c r="J22" s="416">
        <v>1.4999999999999999E-2</v>
      </c>
      <c r="K22" s="416">
        <v>1.4999999999999999E-2</v>
      </c>
    </row>
    <row r="23" spans="1:11" x14ac:dyDescent="0.35">
      <c r="A23" s="1317"/>
      <c r="B23" s="176" t="s">
        <v>479</v>
      </c>
      <c r="C23" s="398">
        <v>7.0000000000000001E-3</v>
      </c>
      <c r="D23" s="398">
        <v>7.0000000000000001E-3</v>
      </c>
      <c r="E23" s="398">
        <v>7.0000000000000001E-3</v>
      </c>
      <c r="I23" s="398">
        <v>7.0000000000000001E-3</v>
      </c>
      <c r="J23" s="398">
        <v>7.0000000000000001E-3</v>
      </c>
      <c r="K23" s="398">
        <v>7.0000000000000001E-3</v>
      </c>
    </row>
    <row r="24" spans="1:11" hidden="1" x14ac:dyDescent="0.35">
      <c r="A24" s="1317"/>
      <c r="B24" s="176" t="s">
        <v>276</v>
      </c>
      <c r="C24" s="398">
        <v>7.0000000000000001E-3</v>
      </c>
      <c r="D24" s="398">
        <v>7.0000000000000001E-3</v>
      </c>
      <c r="E24" s="398">
        <v>0</v>
      </c>
      <c r="F24" s="1311" t="s">
        <v>315</v>
      </c>
      <c r="G24" s="1312"/>
      <c r="H24" s="1313"/>
      <c r="I24" s="398">
        <v>0</v>
      </c>
      <c r="J24" s="398">
        <v>0</v>
      </c>
      <c r="K24" s="398">
        <v>0</v>
      </c>
    </row>
    <row r="25" spans="1:11" x14ac:dyDescent="0.35">
      <c r="A25" s="1317"/>
      <c r="B25" s="176" t="s">
        <v>480</v>
      </c>
      <c r="C25" s="399">
        <v>2.8999999999999998E-2</v>
      </c>
      <c r="D25" s="399">
        <v>2.8999999999999998E-2</v>
      </c>
      <c r="E25" s="399">
        <v>2.1999999999999999E-2</v>
      </c>
      <c r="I25" s="399">
        <v>2.1999999999999999E-2</v>
      </c>
      <c r="J25" s="399">
        <v>2.1999999999999999E-2</v>
      </c>
      <c r="K25" s="399">
        <v>2.1999999999999999E-2</v>
      </c>
    </row>
    <row r="26" spans="1:11" x14ac:dyDescent="0.35">
      <c r="A26" s="1317"/>
      <c r="B26" s="176" t="s">
        <v>188</v>
      </c>
      <c r="C26" s="166">
        <v>62748</v>
      </c>
      <c r="D26" s="166">
        <v>31375</v>
      </c>
      <c r="E26" s="166">
        <v>70066</v>
      </c>
      <c r="I26" s="166">
        <v>72075</v>
      </c>
      <c r="J26" s="166">
        <v>11581.833333333334</v>
      </c>
      <c r="K26" s="166">
        <v>71644</v>
      </c>
    </row>
    <row r="27" spans="1:11" x14ac:dyDescent="0.35">
      <c r="A27" s="1318"/>
      <c r="B27" s="152" t="s">
        <v>192</v>
      </c>
      <c r="C27" s="195">
        <v>1820</v>
      </c>
      <c r="D27" s="195">
        <v>910</v>
      </c>
      <c r="E27" s="535">
        <v>1541</v>
      </c>
      <c r="I27" s="195">
        <v>1586</v>
      </c>
      <c r="J27" s="195">
        <v>255</v>
      </c>
      <c r="K27" s="195">
        <v>1576</v>
      </c>
    </row>
    <row r="28" spans="1:11" ht="7.5" customHeight="1" x14ac:dyDescent="0.35">
      <c r="D28" s="196"/>
      <c r="I28" s="196"/>
      <c r="J28" s="196"/>
      <c r="K28" s="196"/>
    </row>
    <row r="29" spans="1:11" x14ac:dyDescent="0.35">
      <c r="A29" s="1316" t="s">
        <v>102</v>
      </c>
      <c r="B29" s="144" t="s">
        <v>197</v>
      </c>
      <c r="C29" s="539">
        <v>1200</v>
      </c>
      <c r="D29" s="749">
        <v>600</v>
      </c>
      <c r="E29" s="539">
        <v>1200</v>
      </c>
      <c r="I29" s="539">
        <v>1200</v>
      </c>
      <c r="J29" s="749">
        <v>200</v>
      </c>
      <c r="K29" s="749">
        <v>1200</v>
      </c>
    </row>
    <row r="30" spans="1:11" x14ac:dyDescent="0.35">
      <c r="A30" s="1317"/>
      <c r="B30" s="146" t="s">
        <v>632</v>
      </c>
      <c r="C30" s="392">
        <v>750</v>
      </c>
      <c r="D30" s="417">
        <v>375</v>
      </c>
      <c r="E30" s="392">
        <v>1300</v>
      </c>
      <c r="I30" s="392">
        <v>1300</v>
      </c>
      <c r="J30" s="417">
        <v>216.66666666666666</v>
      </c>
      <c r="K30" s="417">
        <v>1300</v>
      </c>
    </row>
    <row r="31" spans="1:11" x14ac:dyDescent="0.35">
      <c r="A31" s="1317"/>
      <c r="B31" s="146" t="s">
        <v>102</v>
      </c>
      <c r="C31" s="392">
        <v>600</v>
      </c>
      <c r="D31" s="417">
        <v>300</v>
      </c>
      <c r="E31" s="392">
        <v>600</v>
      </c>
      <c r="I31" s="392">
        <v>600</v>
      </c>
      <c r="J31" s="417">
        <v>100</v>
      </c>
      <c r="K31" s="417">
        <v>600</v>
      </c>
    </row>
    <row r="32" spans="1:11" x14ac:dyDescent="0.35">
      <c r="A32" s="1317"/>
      <c r="B32" s="176" t="s">
        <v>209</v>
      </c>
      <c r="C32" s="392">
        <v>480</v>
      </c>
      <c r="D32" s="417">
        <v>240</v>
      </c>
      <c r="E32" s="392">
        <v>480</v>
      </c>
      <c r="F32" s="294"/>
      <c r="G32" s="294"/>
      <c r="H32" s="294"/>
      <c r="I32" s="392">
        <v>480</v>
      </c>
      <c r="J32" s="417">
        <v>80</v>
      </c>
      <c r="K32" s="417">
        <v>480</v>
      </c>
    </row>
    <row r="33" spans="1:11" hidden="1" x14ac:dyDescent="0.35">
      <c r="A33" s="1317"/>
      <c r="B33" s="176" t="s">
        <v>269</v>
      </c>
      <c r="C33" s="392">
        <v>300</v>
      </c>
      <c r="D33" s="392">
        <v>300</v>
      </c>
      <c r="E33" s="392"/>
      <c r="F33" s="294"/>
      <c r="G33" s="294"/>
      <c r="H33" s="294"/>
      <c r="I33" s="392"/>
      <c r="J33" s="392"/>
      <c r="K33" s="392"/>
    </row>
    <row r="34" spans="1:11" x14ac:dyDescent="0.35">
      <c r="A34" s="1318"/>
      <c r="B34" s="157" t="s">
        <v>199</v>
      </c>
      <c r="C34" s="393">
        <v>3330</v>
      </c>
      <c r="D34" s="393">
        <v>1815</v>
      </c>
      <c r="E34" s="536">
        <v>3580</v>
      </c>
      <c r="H34" s="139"/>
      <c r="I34" s="393">
        <v>3580</v>
      </c>
      <c r="J34" s="393">
        <v>596.66666666666663</v>
      </c>
      <c r="K34" s="393">
        <v>3580</v>
      </c>
    </row>
    <row r="35" spans="1:11" ht="8" customHeight="1" x14ac:dyDescent="0.35">
      <c r="D35" s="196"/>
    </row>
    <row r="36" spans="1:11" x14ac:dyDescent="0.35">
      <c r="B36" s="160" t="s">
        <v>279</v>
      </c>
      <c r="C36" s="394">
        <v>96198</v>
      </c>
      <c r="D36" s="394">
        <v>48251</v>
      </c>
      <c r="E36" s="161">
        <v>86398</v>
      </c>
      <c r="F36" s="139"/>
      <c r="G36" s="607"/>
      <c r="H36" s="420"/>
      <c r="I36" s="161">
        <v>88773</v>
      </c>
      <c r="J36" s="161">
        <v>16931.5</v>
      </c>
      <c r="K36" s="161">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2" customWidth="1"/>
    <col min="2" max="2" width="10.453125" style="132" hidden="1" customWidth="1" outlineLevel="1"/>
    <col min="3" max="3" width="10" style="132" hidden="1" customWidth="1" outlineLevel="1"/>
    <col min="4" max="6" width="8.7265625" style="132" hidden="1" customWidth="1" outlineLevel="1"/>
    <col min="7" max="7" width="13.90625" style="132" hidden="1" customWidth="1" outlineLevel="1" collapsed="1"/>
    <col min="8" max="9" width="13.90625" style="132" hidden="1" customWidth="1" outlineLevel="1"/>
    <col min="10" max="10" width="23.6328125" style="132" hidden="1" customWidth="1" outlineLevel="1"/>
    <col min="11" max="11" width="13.90625" style="132" customWidth="1" collapsed="1"/>
    <col min="12" max="16" width="13.90625" style="132" hidden="1" customWidth="1"/>
    <col min="17" max="18" width="13.90625" style="132" customWidth="1"/>
    <col min="19" max="22" width="13.90625" style="132" hidden="1" customWidth="1"/>
    <col min="23" max="24" width="8.7265625" style="132"/>
    <col min="25" max="25" width="31.54296875" style="132" customWidth="1"/>
    <col min="26" max="16384" width="8.7265625" style="132"/>
  </cols>
  <sheetData>
    <row r="1" spans="1:25" ht="21" x14ac:dyDescent="0.35">
      <c r="A1" s="1166" t="s">
        <v>474</v>
      </c>
      <c r="B1" s="1166"/>
      <c r="C1" s="1166"/>
      <c r="D1" s="1166"/>
      <c r="E1" s="1166"/>
      <c r="F1" s="1166"/>
      <c r="G1" s="1166"/>
      <c r="H1" s="1166"/>
      <c r="I1" s="1166"/>
      <c r="J1" s="1166"/>
      <c r="K1" s="1166"/>
      <c r="L1" s="1166"/>
      <c r="M1" s="1166"/>
      <c r="N1" s="1166"/>
      <c r="O1" s="1166"/>
      <c r="P1" s="1166"/>
      <c r="Q1" s="1166"/>
      <c r="R1" s="1166"/>
      <c r="S1" s="1166"/>
      <c r="T1" s="1166"/>
      <c r="U1" s="1166"/>
      <c r="V1" s="1166"/>
      <c r="W1" s="1166"/>
      <c r="X1" s="1166"/>
      <c r="Y1" s="1166"/>
    </row>
    <row r="2" spans="1:25" x14ac:dyDescent="0.35">
      <c r="A2" s="994" t="s">
        <v>608</v>
      </c>
      <c r="K2" s="772"/>
      <c r="L2" s="1167"/>
      <c r="M2" s="1167"/>
      <c r="N2" s="1167"/>
      <c r="O2" s="1167"/>
      <c r="P2" s="1167"/>
      <c r="Q2" s="797"/>
      <c r="R2" s="1167"/>
      <c r="S2" s="1167"/>
      <c r="T2" s="1167"/>
      <c r="U2" s="1167"/>
      <c r="V2" s="1384"/>
    </row>
    <row r="3" spans="1:25" ht="43.5" customHeight="1" x14ac:dyDescent="0.35">
      <c r="A3" s="818" t="s">
        <v>508</v>
      </c>
      <c r="B3" s="1380">
        <v>2018</v>
      </c>
      <c r="C3" s="1381"/>
      <c r="D3" s="1381"/>
      <c r="E3" s="1381"/>
      <c r="F3" s="1382"/>
      <c r="G3" s="389" t="s">
        <v>179</v>
      </c>
      <c r="H3" s="133" t="s">
        <v>196</v>
      </c>
      <c r="I3" s="389" t="s">
        <v>263</v>
      </c>
      <c r="K3" s="789" t="s">
        <v>337</v>
      </c>
      <c r="L3" s="790" t="s">
        <v>330</v>
      </c>
      <c r="M3" s="790" t="s">
        <v>331</v>
      </c>
      <c r="N3" s="791" t="s">
        <v>332</v>
      </c>
      <c r="O3" s="791" t="s">
        <v>333</v>
      </c>
      <c r="P3" s="790" t="s">
        <v>334</v>
      </c>
      <c r="Q3" s="792" t="s">
        <v>423</v>
      </c>
      <c r="R3" s="790" t="s">
        <v>330</v>
      </c>
      <c r="S3" s="549" t="s">
        <v>331</v>
      </c>
      <c r="T3" s="550" t="s">
        <v>332</v>
      </c>
      <c r="U3" s="550" t="s">
        <v>333</v>
      </c>
      <c r="V3" s="549" t="s">
        <v>334</v>
      </c>
      <c r="W3" s="1322" t="str">
        <f>"To Buy Back one week of vacation is $"&amp;ROUND(+Q11/52,2)&amp;"0 per week or $"&amp;ROUND(+Q11/52,0)/5&amp;" Per day."</f>
        <v>To Buy Back one week of vacation is $1509.60 per week or $302 Per day.</v>
      </c>
      <c r="X3" s="1323"/>
      <c r="Y3" s="1323"/>
    </row>
    <row r="4" spans="1:25" ht="14.5" customHeight="1" x14ac:dyDescent="0.35">
      <c r="A4" s="418" t="s">
        <v>37</v>
      </c>
      <c r="B4" s="165">
        <v>52894</v>
      </c>
      <c r="C4" s="119">
        <f>+B7-C6</f>
        <v>46762</v>
      </c>
      <c r="D4" s="119">
        <f>+B7-D6</f>
        <v>46762</v>
      </c>
      <c r="E4" s="119">
        <f>+B4</f>
        <v>52894</v>
      </c>
      <c r="F4" s="129"/>
      <c r="G4" s="166">
        <f>+B7-G6</f>
        <v>46322</v>
      </c>
      <c r="H4" s="166"/>
      <c r="I4" s="166">
        <f>71540-22000</f>
        <v>49540</v>
      </c>
      <c r="K4" s="166">
        <f>+K11-K6</f>
        <v>52510</v>
      </c>
      <c r="L4" s="552">
        <f>+L7-L6</f>
        <v>53618</v>
      </c>
      <c r="M4" s="552">
        <f>+I4*(1+0.02)</f>
        <v>50530.8</v>
      </c>
      <c r="N4" s="552">
        <f>+I4*(1+0.01)</f>
        <v>50035.4</v>
      </c>
      <c r="O4" s="552">
        <f>+I4</f>
        <v>49540</v>
      </c>
      <c r="P4" s="552">
        <f>+I4*(1+0.026)+1110</f>
        <v>51938.04</v>
      </c>
      <c r="Q4" s="135">
        <f>+V4</f>
        <v>56499</v>
      </c>
      <c r="R4" s="552">
        <f>+R7-R6</f>
        <v>58551</v>
      </c>
      <c r="S4" s="552">
        <f>+S7-S6</f>
        <v>54000.2</v>
      </c>
      <c r="T4" s="552">
        <f>+T7-T6</f>
        <v>53255.100000000006</v>
      </c>
      <c r="U4" s="552">
        <f>+U7-U6</f>
        <v>52510</v>
      </c>
      <c r="V4" s="552">
        <f>+V7-V6</f>
        <v>56499</v>
      </c>
      <c r="W4" s="1385" t="str">
        <f>"For 2022, 20 years of experience plus a COLA 5% per ELCA quidelines = "&amp;ROUND((+Q7-K7)/K7,3)*100&amp;"% increase due to vacation purchase."</f>
        <v>For 2022, 20 years of experience plus a COLA 5% per ELCA quidelines = 5.4% increase due to vacation purchase.</v>
      </c>
      <c r="X4" s="1386"/>
      <c r="Y4" s="1386"/>
    </row>
    <row r="5" spans="1:25" ht="8" hidden="1" customHeight="1" x14ac:dyDescent="0.35">
      <c r="A5" s="164"/>
      <c r="B5" s="167">
        <v>0.3</v>
      </c>
      <c r="C5" s="121"/>
      <c r="D5" s="121"/>
      <c r="E5" s="120">
        <v>0.3</v>
      </c>
      <c r="F5" s="168"/>
      <c r="G5" s="169"/>
      <c r="H5" s="169"/>
      <c r="I5" s="169"/>
      <c r="K5" s="169"/>
      <c r="L5" s="553"/>
      <c r="M5" s="553"/>
      <c r="N5" s="553"/>
      <c r="O5" s="553"/>
      <c r="P5" s="553"/>
      <c r="Q5" s="136"/>
      <c r="R5" s="553"/>
      <c r="S5" s="553"/>
      <c r="T5" s="553"/>
      <c r="U5" s="553"/>
      <c r="V5" s="553"/>
      <c r="W5" s="1385"/>
      <c r="X5" s="1386"/>
      <c r="Y5" s="1386"/>
    </row>
    <row r="6" spans="1:25" ht="16.5" customHeight="1" thickBot="1" x14ac:dyDescent="0.4">
      <c r="A6" s="164" t="s">
        <v>156</v>
      </c>
      <c r="B6" s="170">
        <f>ROUND(+B4*B5,0)</f>
        <v>15868</v>
      </c>
      <c r="C6" s="123">
        <v>22000</v>
      </c>
      <c r="D6" s="123">
        <f>+C6</f>
        <v>22000</v>
      </c>
      <c r="E6" s="122">
        <f>ROUND(+E4*E5,0)</f>
        <v>15868</v>
      </c>
      <c r="F6" s="126"/>
      <c r="G6" s="171">
        <v>22440</v>
      </c>
      <c r="H6" s="171"/>
      <c r="I6" s="171">
        <v>22000</v>
      </c>
      <c r="K6" s="171">
        <v>22000</v>
      </c>
      <c r="L6" s="554">
        <v>22000</v>
      </c>
      <c r="M6" s="555">
        <f>+I6*(1+0.02)</f>
        <v>22440</v>
      </c>
      <c r="N6" s="555">
        <f>+I6*(1+0.01)</f>
        <v>22220</v>
      </c>
      <c r="O6" s="555">
        <f>+I6</f>
        <v>22000</v>
      </c>
      <c r="P6" s="555">
        <f>+I6*(1+0.026)</f>
        <v>22572</v>
      </c>
      <c r="Q6" s="137">
        <v>22000</v>
      </c>
      <c r="R6" s="555">
        <f>+$Q6</f>
        <v>22000</v>
      </c>
      <c r="S6" s="555">
        <f>+$Q6</f>
        <v>22000</v>
      </c>
      <c r="T6" s="555">
        <f>+$Q6</f>
        <v>22000</v>
      </c>
      <c r="U6" s="555">
        <f>+$Q6</f>
        <v>22000</v>
      </c>
      <c r="V6" s="555">
        <f>+$Q6</f>
        <v>22000</v>
      </c>
      <c r="W6" s="1385"/>
      <c r="X6" s="1386"/>
      <c r="Y6" s="1386"/>
    </row>
    <row r="7" spans="1:25" ht="14.5" hidden="1" customHeight="1" x14ac:dyDescent="0.35">
      <c r="A7" s="164" t="s">
        <v>157</v>
      </c>
      <c r="B7" s="172">
        <f>+B4+B6</f>
        <v>68762</v>
      </c>
      <c r="C7" s="173">
        <f>+C4+C6</f>
        <v>68762</v>
      </c>
      <c r="D7" s="173">
        <f>+D4+D6</f>
        <v>68762</v>
      </c>
      <c r="E7" s="173">
        <f>+E4+E6</f>
        <v>68762</v>
      </c>
      <c r="F7" s="174"/>
      <c r="G7" s="175">
        <f>+G4+G6</f>
        <v>68762</v>
      </c>
      <c r="H7" s="175"/>
      <c r="I7" s="175">
        <f>+I4+I6</f>
        <v>71540</v>
      </c>
      <c r="K7" s="175">
        <v>74510</v>
      </c>
      <c r="L7" s="591">
        <v>75618</v>
      </c>
      <c r="M7" s="556">
        <f>+M4+M6</f>
        <v>72970.8</v>
      </c>
      <c r="N7" s="556">
        <f>+N4+N6</f>
        <v>72255.399999999994</v>
      </c>
      <c r="O7" s="556">
        <f>+O4+O6</f>
        <v>71540</v>
      </c>
      <c r="P7" s="556">
        <f>+P4+P6</f>
        <v>74510.040000000008</v>
      </c>
      <c r="Q7" s="138">
        <f>+Q4+Q6</f>
        <v>78499</v>
      </c>
      <c r="R7" s="591">
        <v>80551</v>
      </c>
      <c r="S7" s="556">
        <f>+$K7*(1+0.02)</f>
        <v>76000.2</v>
      </c>
      <c r="T7" s="556">
        <f>+$K7*(1+0.01)</f>
        <v>75255.100000000006</v>
      </c>
      <c r="U7" s="556">
        <f>+$K7*(1+0)</f>
        <v>74510</v>
      </c>
      <c r="V7" s="591">
        <f>ROUND(($K7*(1+0.026))+(R7-($K7*(1+0.026)))/2,0)</f>
        <v>78499</v>
      </c>
      <c r="W7" s="787"/>
      <c r="X7" s="788"/>
      <c r="Y7" s="788"/>
    </row>
    <row r="8" spans="1:25" ht="4" hidden="1" customHeight="1" x14ac:dyDescent="0.35">
      <c r="A8" s="176"/>
      <c r="B8" s="176"/>
      <c r="C8" s="177"/>
      <c r="D8" s="177"/>
      <c r="E8" s="177"/>
      <c r="F8" s="178"/>
      <c r="G8" s="169"/>
      <c r="H8" s="169"/>
      <c r="I8" s="169"/>
      <c r="K8" s="169"/>
      <c r="L8" s="553"/>
      <c r="M8" s="553"/>
      <c r="N8" s="553"/>
      <c r="O8" s="553"/>
      <c r="P8" s="553"/>
      <c r="Q8" s="136"/>
      <c r="R8" s="553"/>
      <c r="S8" s="553"/>
      <c r="T8" s="553"/>
      <c r="U8" s="553"/>
      <c r="V8" s="553"/>
      <c r="W8" s="787"/>
      <c r="X8" s="788"/>
      <c r="Y8" s="788"/>
    </row>
    <row r="9" spans="1:25" ht="14.5" hidden="1" customHeight="1" x14ac:dyDescent="0.35">
      <c r="A9" s="164" t="s">
        <v>167</v>
      </c>
      <c r="B9" s="176"/>
      <c r="C9" s="124">
        <f>(23/24)</f>
        <v>0.95833333333333337</v>
      </c>
      <c r="D9" s="124">
        <f>(23/24)</f>
        <v>0.95833333333333337</v>
      </c>
      <c r="E9" s="124">
        <v>1</v>
      </c>
      <c r="F9" s="125">
        <v>1</v>
      </c>
      <c r="G9" s="179">
        <v>1</v>
      </c>
      <c r="H9" s="179"/>
      <c r="I9" s="179">
        <v>1</v>
      </c>
      <c r="K9" s="179">
        <v>1</v>
      </c>
      <c r="L9" s="557">
        <v>1</v>
      </c>
      <c r="M9" s="557">
        <v>1</v>
      </c>
      <c r="N9" s="557">
        <v>1</v>
      </c>
      <c r="O9" s="557">
        <v>1</v>
      </c>
      <c r="P9" s="557">
        <v>1</v>
      </c>
      <c r="Q9" s="130">
        <v>1</v>
      </c>
      <c r="R9" s="557">
        <v>1</v>
      </c>
      <c r="S9" s="557">
        <v>1</v>
      </c>
      <c r="T9" s="557">
        <v>1</v>
      </c>
      <c r="U9" s="557">
        <v>1</v>
      </c>
      <c r="V9" s="557">
        <v>1</v>
      </c>
      <c r="W9" s="787"/>
      <c r="X9" s="788"/>
      <c r="Y9" s="788"/>
    </row>
    <row r="10" spans="1:25" ht="6.5" hidden="1" customHeight="1" x14ac:dyDescent="0.35">
      <c r="A10" s="176"/>
      <c r="B10" s="176"/>
      <c r="C10" s="177"/>
      <c r="D10" s="177"/>
      <c r="E10" s="177"/>
      <c r="F10" s="178"/>
      <c r="G10" s="169"/>
      <c r="H10" s="169"/>
      <c r="I10" s="169"/>
      <c r="K10" s="169"/>
      <c r="L10" s="553"/>
      <c r="M10" s="553"/>
      <c r="N10" s="553"/>
      <c r="O10" s="553"/>
      <c r="P10" s="553"/>
      <c r="Q10" s="136"/>
      <c r="R10" s="553"/>
      <c r="S10" s="553"/>
      <c r="T10" s="553"/>
      <c r="U10" s="553"/>
      <c r="V10" s="553"/>
      <c r="W10" s="787"/>
      <c r="X10" s="788"/>
      <c r="Y10" s="788"/>
    </row>
    <row r="11" spans="1:25" ht="14.5" hidden="1" customHeight="1" x14ac:dyDescent="0.35">
      <c r="A11" s="183" t="s">
        <v>178</v>
      </c>
      <c r="B11" s="184"/>
      <c r="C11" s="185">
        <f>+C7*C9</f>
        <v>65896.916666666672</v>
      </c>
      <c r="D11" s="185">
        <f>+D7*D9</f>
        <v>65896.916666666672</v>
      </c>
      <c r="E11" s="185">
        <f>+E7*E9</f>
        <v>68762</v>
      </c>
      <c r="F11" s="186">
        <f>+C7*F9</f>
        <v>68762</v>
      </c>
      <c r="G11" s="390">
        <f>ROUND(+G7*(1+G12),0)</f>
        <v>70137</v>
      </c>
      <c r="H11" s="187"/>
      <c r="I11" s="390">
        <f>ROUND(+I7*I9,0)</f>
        <v>71540</v>
      </c>
      <c r="K11" s="533">
        <f t="shared" ref="K11:V11" si="0">ROUND(+K7*K9,0)</f>
        <v>74510</v>
      </c>
      <c r="L11" s="560">
        <f t="shared" si="0"/>
        <v>75618</v>
      </c>
      <c r="M11" s="560">
        <f t="shared" si="0"/>
        <v>72971</v>
      </c>
      <c r="N11" s="560">
        <f t="shared" si="0"/>
        <v>72255</v>
      </c>
      <c r="O11" s="560">
        <f t="shared" si="0"/>
        <v>71540</v>
      </c>
      <c r="P11" s="560">
        <f t="shared" si="0"/>
        <v>74510</v>
      </c>
      <c r="Q11" s="140">
        <f t="shared" si="0"/>
        <v>78499</v>
      </c>
      <c r="R11" s="560">
        <f t="shared" si="0"/>
        <v>80551</v>
      </c>
      <c r="S11" s="560">
        <f t="shared" si="0"/>
        <v>76000</v>
      </c>
      <c r="T11" s="560">
        <f t="shared" si="0"/>
        <v>75255</v>
      </c>
      <c r="U11" s="560">
        <f t="shared" si="0"/>
        <v>74510</v>
      </c>
      <c r="V11" s="560">
        <f t="shared" si="0"/>
        <v>78499</v>
      </c>
      <c r="W11" s="787"/>
      <c r="X11" s="788"/>
      <c r="Y11" s="788"/>
    </row>
    <row r="12" spans="1:25" ht="15" hidden="1" thickBot="1" x14ac:dyDescent="0.4">
      <c r="A12" s="164" t="s">
        <v>475</v>
      </c>
      <c r="B12" s="176"/>
      <c r="C12" s="180">
        <v>0</v>
      </c>
      <c r="D12" s="180">
        <v>0</v>
      </c>
      <c r="E12" s="180">
        <v>0</v>
      </c>
      <c r="F12" s="181">
        <v>0</v>
      </c>
      <c r="G12" s="398">
        <v>0.02</v>
      </c>
      <c r="H12" s="182"/>
      <c r="I12" s="593">
        <f>+I11/G11-1</f>
        <v>2.0003707030525897E-2</v>
      </c>
      <c r="K12" s="593">
        <f>+K11/I11-1</f>
        <v>4.1515236231478791E-2</v>
      </c>
      <c r="L12" s="558">
        <f>+L11/O11-1</f>
        <v>5.7003075202683773E-2</v>
      </c>
      <c r="M12" s="558">
        <f>+M11/O11-1</f>
        <v>2.0002795638803361E-2</v>
      </c>
      <c r="N12" s="558">
        <f>+N11/O11-1</f>
        <v>9.9944087223931E-3</v>
      </c>
      <c r="O12" s="559">
        <v>0</v>
      </c>
      <c r="P12" s="558">
        <f>+P11/O11-1</f>
        <v>4.1515236231478791E-2</v>
      </c>
      <c r="Q12" s="423">
        <f>+Q11/K11-1</f>
        <v>5.3536438062005143E-2</v>
      </c>
      <c r="R12" s="558">
        <f>+R11/$K11-1</f>
        <v>8.1076365588511612E-2</v>
      </c>
      <c r="S12" s="558">
        <f>+S11/$K11-1</f>
        <v>1.9997315796537407E-2</v>
      </c>
      <c r="T12" s="558">
        <f>+T11/$K11-1</f>
        <v>9.9986578982687035E-3</v>
      </c>
      <c r="U12" s="558">
        <f>+U11/$K11-1</f>
        <v>0</v>
      </c>
      <c r="V12" s="558">
        <f>+V11/$K11-1</f>
        <v>5.3536438062005143E-2</v>
      </c>
      <c r="W12" s="787"/>
      <c r="X12" s="788"/>
      <c r="Y12" s="788"/>
    </row>
    <row r="13" spans="1:25" ht="15" hidden="1" customHeight="1" x14ac:dyDescent="0.35">
      <c r="A13" s="1379" t="s">
        <v>461</v>
      </c>
      <c r="B13" s="176"/>
      <c r="C13" s="177"/>
      <c r="D13" s="177"/>
      <c r="E13" s="177"/>
      <c r="F13" s="178"/>
      <c r="G13" s="169"/>
      <c r="H13" s="169"/>
      <c r="I13" s="169"/>
      <c r="K13" s="169"/>
      <c r="L13" s="553"/>
      <c r="M13" s="553"/>
      <c r="N13" s="553"/>
      <c r="O13" s="553"/>
      <c r="P13" s="553"/>
      <c r="Q13" s="136"/>
      <c r="R13" s="553"/>
      <c r="S13" s="553"/>
      <c r="T13" s="553"/>
      <c r="U13" s="553"/>
      <c r="V13" s="553"/>
      <c r="W13" s="798"/>
      <c r="X13" s="799"/>
      <c r="Y13" s="799"/>
    </row>
    <row r="14" spans="1:25" ht="14.5" hidden="1" customHeight="1" x14ac:dyDescent="0.35">
      <c r="A14" s="1379"/>
      <c r="B14" s="176"/>
      <c r="C14" s="119">
        <f>+C28</f>
        <v>0</v>
      </c>
      <c r="D14" s="119">
        <f>+D28</f>
        <v>0</v>
      </c>
      <c r="E14" s="119">
        <f>+E28</f>
        <v>8015</v>
      </c>
      <c r="F14" s="129">
        <f>+F28</f>
        <v>0</v>
      </c>
      <c r="G14" s="188">
        <f>+G30</f>
        <v>2600</v>
      </c>
      <c r="H14" s="188"/>
      <c r="I14" s="188">
        <f>+I30</f>
        <v>3467</v>
      </c>
      <c r="K14" s="188">
        <f t="shared" ref="K14:V14" si="1">+K30</f>
        <v>0</v>
      </c>
      <c r="L14" s="561">
        <f t="shared" si="1"/>
        <v>0</v>
      </c>
      <c r="M14" s="561">
        <f t="shared" si="1"/>
        <v>3467</v>
      </c>
      <c r="N14" s="561">
        <f t="shared" si="1"/>
        <v>3467</v>
      </c>
      <c r="O14" s="561">
        <f t="shared" si="1"/>
        <v>3467</v>
      </c>
      <c r="P14" s="561">
        <f t="shared" si="1"/>
        <v>3467</v>
      </c>
      <c r="Q14" s="131">
        <f t="shared" si="1"/>
        <v>0</v>
      </c>
      <c r="R14" s="561">
        <f t="shared" si="1"/>
        <v>0</v>
      </c>
      <c r="S14" s="561">
        <f t="shared" si="1"/>
        <v>0</v>
      </c>
      <c r="T14" s="561">
        <f t="shared" si="1"/>
        <v>0</v>
      </c>
      <c r="U14" s="561">
        <f t="shared" si="1"/>
        <v>0</v>
      </c>
      <c r="V14" s="561">
        <f t="shared" si="1"/>
        <v>0</v>
      </c>
      <c r="W14" s="798"/>
      <c r="X14" s="799"/>
      <c r="Y14" s="799"/>
    </row>
    <row r="15" spans="1:25" ht="8" hidden="1" customHeight="1" thickBot="1" x14ac:dyDescent="0.4">
      <c r="A15" s="189"/>
      <c r="B15" s="176"/>
      <c r="C15" s="177"/>
      <c r="D15" s="177"/>
      <c r="E15" s="177"/>
      <c r="F15" s="178"/>
      <c r="G15" s="169"/>
      <c r="H15" s="169"/>
      <c r="I15" s="169"/>
      <c r="K15" s="169"/>
      <c r="L15" s="553"/>
      <c r="M15" s="553"/>
      <c r="N15" s="553"/>
      <c r="O15" s="553"/>
      <c r="P15" s="553"/>
      <c r="Q15" s="136"/>
      <c r="R15" s="553"/>
      <c r="S15" s="553"/>
      <c r="T15" s="553"/>
      <c r="U15" s="553"/>
      <c r="V15" s="553"/>
      <c r="W15" s="771"/>
      <c r="X15" s="771"/>
      <c r="Y15" s="771"/>
    </row>
    <row r="16" spans="1:25" ht="14.5" customHeight="1" x14ac:dyDescent="0.35">
      <c r="A16" s="183" t="s">
        <v>178</v>
      </c>
      <c r="B16" s="184"/>
      <c r="C16" s="185">
        <f>+C11+C14</f>
        <v>65896.916666666672</v>
      </c>
      <c r="D16" s="185">
        <f>+D11+D14</f>
        <v>65896.916666666672</v>
      </c>
      <c r="E16" s="185">
        <f>+E11+E14</f>
        <v>76777</v>
      </c>
      <c r="F16" s="186">
        <f>+F11+F14</f>
        <v>68762</v>
      </c>
      <c r="G16" s="390">
        <f>+G11+G14</f>
        <v>72737</v>
      </c>
      <c r="H16" s="187">
        <f>50297+22440</f>
        <v>72737</v>
      </c>
      <c r="I16" s="390">
        <f>+I11+I14</f>
        <v>75007</v>
      </c>
      <c r="K16" s="390">
        <f t="shared" ref="K16:V16" si="2">+K11+K14</f>
        <v>74510</v>
      </c>
      <c r="L16" s="560">
        <f t="shared" si="2"/>
        <v>75618</v>
      </c>
      <c r="M16" s="560">
        <f t="shared" si="2"/>
        <v>76438</v>
      </c>
      <c r="N16" s="560">
        <f t="shared" si="2"/>
        <v>75722</v>
      </c>
      <c r="O16" s="560">
        <f t="shared" si="2"/>
        <v>75007</v>
      </c>
      <c r="P16" s="560">
        <f t="shared" si="2"/>
        <v>77977</v>
      </c>
      <c r="Q16" s="140">
        <f t="shared" si="2"/>
        <v>78499</v>
      </c>
      <c r="R16" s="560">
        <f t="shared" si="2"/>
        <v>80551</v>
      </c>
      <c r="S16" s="560">
        <f t="shared" si="2"/>
        <v>76000</v>
      </c>
      <c r="T16" s="560">
        <f t="shared" si="2"/>
        <v>75255</v>
      </c>
      <c r="U16" s="560">
        <f t="shared" si="2"/>
        <v>74510</v>
      </c>
      <c r="V16" s="845">
        <f t="shared" si="2"/>
        <v>78499</v>
      </c>
      <c r="W16" s="1387"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88"/>
      <c r="Y16" s="1389"/>
    </row>
    <row r="17" spans="1:25" x14ac:dyDescent="0.35">
      <c r="A17" s="176" t="s">
        <v>493</v>
      </c>
      <c r="B17" s="176"/>
      <c r="C17" s="127">
        <v>7.6499999999999999E-2</v>
      </c>
      <c r="D17" s="127">
        <v>7.6499999999999999E-2</v>
      </c>
      <c r="E17" s="127">
        <v>7.6499999999999999E-2</v>
      </c>
      <c r="F17" s="128">
        <v>7.6499999999999999E-2</v>
      </c>
      <c r="G17" s="190">
        <v>7.6499999999999999E-2</v>
      </c>
      <c r="H17" s="190">
        <v>7.6499999999999999E-2</v>
      </c>
      <c r="I17" s="190">
        <v>7.6499999999999999E-2</v>
      </c>
      <c r="K17" s="424">
        <v>7.6499999999999999E-2</v>
      </c>
      <c r="L17" s="562">
        <v>7.6499999999999999E-2</v>
      </c>
      <c r="M17" s="562">
        <v>7.6499999999999999E-2</v>
      </c>
      <c r="N17" s="562">
        <v>7.6499999999999999E-2</v>
      </c>
      <c r="O17" s="562">
        <v>7.6499999999999999E-2</v>
      </c>
      <c r="P17" s="562">
        <v>7.6499999999999999E-2</v>
      </c>
      <c r="Q17" s="601">
        <v>7.6499999999999999E-2</v>
      </c>
      <c r="R17" s="758">
        <f>+$Q17</f>
        <v>7.6499999999999999E-2</v>
      </c>
      <c r="S17" s="759">
        <f>+$Q17</f>
        <v>7.6499999999999999E-2</v>
      </c>
      <c r="T17" s="759">
        <f>+$Q17</f>
        <v>7.6499999999999999E-2</v>
      </c>
      <c r="U17" s="759">
        <f>+$Q17</f>
        <v>7.6499999999999999E-2</v>
      </c>
      <c r="V17" s="848">
        <f>+$Q17</f>
        <v>7.6499999999999999E-2</v>
      </c>
      <c r="W17" s="1390"/>
      <c r="X17" s="1391"/>
      <c r="Y17" s="1392"/>
    </row>
    <row r="18" spans="1:25" x14ac:dyDescent="0.35">
      <c r="A18" s="176" t="s">
        <v>272</v>
      </c>
      <c r="B18" s="176"/>
      <c r="C18" s="119">
        <f t="shared" ref="C18:H18" si="3">+C16*C17</f>
        <v>5041.1141250000001</v>
      </c>
      <c r="D18" s="119">
        <f t="shared" si="3"/>
        <v>5041.1141250000001</v>
      </c>
      <c r="E18" s="119">
        <f t="shared" si="3"/>
        <v>5873.4404999999997</v>
      </c>
      <c r="F18" s="129">
        <f t="shared" si="3"/>
        <v>5260.2929999999997</v>
      </c>
      <c r="G18" s="188">
        <f t="shared" si="3"/>
        <v>5564.3805000000002</v>
      </c>
      <c r="H18" s="188">
        <f t="shared" si="3"/>
        <v>5564.3805000000002</v>
      </c>
      <c r="I18" s="188">
        <f>ROUND(+I16*I17,0)</f>
        <v>5738</v>
      </c>
      <c r="J18" s="139"/>
      <c r="K18" s="188">
        <f t="shared" ref="K18:V18" si="4">ROUND(+K16*K17,0)</f>
        <v>5700</v>
      </c>
      <c r="L18" s="561">
        <f t="shared" si="4"/>
        <v>5785</v>
      </c>
      <c r="M18" s="561">
        <f t="shared" si="4"/>
        <v>5848</v>
      </c>
      <c r="N18" s="561">
        <f t="shared" si="4"/>
        <v>5793</v>
      </c>
      <c r="O18" s="561">
        <f t="shared" si="4"/>
        <v>5738</v>
      </c>
      <c r="P18" s="561">
        <f t="shared" si="4"/>
        <v>5965</v>
      </c>
      <c r="Q18" s="131">
        <f t="shared" si="4"/>
        <v>6005</v>
      </c>
      <c r="R18" s="561">
        <f t="shared" si="4"/>
        <v>6162</v>
      </c>
      <c r="S18" s="561">
        <f t="shared" si="4"/>
        <v>5814</v>
      </c>
      <c r="T18" s="561">
        <f t="shared" si="4"/>
        <v>5757</v>
      </c>
      <c r="U18" s="561">
        <f t="shared" si="4"/>
        <v>5700</v>
      </c>
      <c r="V18" s="843">
        <f t="shared" si="4"/>
        <v>6005</v>
      </c>
      <c r="W18" s="1390"/>
      <c r="X18" s="1391"/>
      <c r="Y18" s="1392"/>
    </row>
    <row r="19" spans="1:25" ht="15" thickBot="1" x14ac:dyDescent="0.4">
      <c r="A19" s="191" t="s">
        <v>180</v>
      </c>
      <c r="B19" s="192"/>
      <c r="C19" s="193">
        <f t="shared" ref="C19:I19" si="5">+C16+C18</f>
        <v>70938.030791666679</v>
      </c>
      <c r="D19" s="193">
        <f t="shared" si="5"/>
        <v>70938.030791666679</v>
      </c>
      <c r="E19" s="193">
        <f t="shared" si="5"/>
        <v>82650.440499999997</v>
      </c>
      <c r="F19" s="194">
        <f t="shared" si="5"/>
        <v>74022.293000000005</v>
      </c>
      <c r="G19" s="195">
        <f t="shared" si="5"/>
        <v>78301.380499999999</v>
      </c>
      <c r="H19" s="195">
        <f t="shared" si="5"/>
        <v>78301.380499999999</v>
      </c>
      <c r="I19" s="195">
        <f t="shared" si="5"/>
        <v>80745</v>
      </c>
      <c r="K19" s="195">
        <f t="shared" ref="K19:V19" si="6">+K16+K18</f>
        <v>80210</v>
      </c>
      <c r="L19" s="563">
        <f t="shared" si="6"/>
        <v>81403</v>
      </c>
      <c r="M19" s="563">
        <f t="shared" si="6"/>
        <v>82286</v>
      </c>
      <c r="N19" s="563">
        <f t="shared" si="6"/>
        <v>81515</v>
      </c>
      <c r="O19" s="563">
        <f t="shared" si="6"/>
        <v>80745</v>
      </c>
      <c r="P19" s="563">
        <f t="shared" si="6"/>
        <v>83942</v>
      </c>
      <c r="Q19" s="142">
        <f t="shared" si="6"/>
        <v>84504</v>
      </c>
      <c r="R19" s="563">
        <f t="shared" si="6"/>
        <v>86713</v>
      </c>
      <c r="S19" s="563">
        <f t="shared" si="6"/>
        <v>81814</v>
      </c>
      <c r="T19" s="563">
        <f t="shared" si="6"/>
        <v>81012</v>
      </c>
      <c r="U19" s="563">
        <f t="shared" si="6"/>
        <v>80210</v>
      </c>
      <c r="V19" s="847">
        <f t="shared" si="6"/>
        <v>84504</v>
      </c>
      <c r="W19" s="1393"/>
      <c r="X19" s="1394"/>
      <c r="Y19" s="1395"/>
    </row>
    <row r="20" spans="1:25" x14ac:dyDescent="0.35">
      <c r="A20" s="196"/>
      <c r="B20" s="196"/>
      <c r="C20" s="196"/>
      <c r="D20" s="196"/>
      <c r="E20" s="196"/>
      <c r="F20" s="196"/>
      <c r="G20" s="196"/>
      <c r="H20" s="196"/>
      <c r="I20" s="196"/>
      <c r="K20" s="196"/>
      <c r="L20" s="196"/>
      <c r="M20" s="196"/>
      <c r="N20" s="196"/>
      <c r="O20" s="196"/>
      <c r="P20" s="196"/>
      <c r="Q20" s="196"/>
      <c r="R20" s="196"/>
      <c r="S20" s="196"/>
      <c r="T20" s="196"/>
      <c r="U20" s="196"/>
      <c r="V20" s="196"/>
      <c r="W20" s="851"/>
      <c r="X20" s="851"/>
      <c r="Y20" s="851"/>
    </row>
    <row r="21" spans="1:25" x14ac:dyDescent="0.35">
      <c r="A21" s="197" t="s">
        <v>185</v>
      </c>
      <c r="B21" s="162"/>
      <c r="C21" s="198"/>
      <c r="D21" s="198"/>
      <c r="E21" s="198"/>
      <c r="F21" s="199"/>
      <c r="G21" s="163"/>
      <c r="H21" s="199"/>
      <c r="I21" s="163"/>
      <c r="K21" s="163"/>
      <c r="L21" s="551"/>
      <c r="M21" s="564"/>
      <c r="N21" s="564"/>
      <c r="O21" s="564"/>
      <c r="P21" s="564"/>
      <c r="Q21" s="134"/>
      <c r="R21" s="551"/>
      <c r="S21" s="564"/>
      <c r="T21" s="564"/>
      <c r="U21" s="564"/>
      <c r="V21" s="849"/>
      <c r="W21" s="851"/>
      <c r="X21" s="851"/>
      <c r="Y21" s="851"/>
    </row>
    <row r="22" spans="1:25" x14ac:dyDescent="0.35">
      <c r="A22" s="176" t="s">
        <v>181</v>
      </c>
      <c r="B22" s="176"/>
      <c r="C22" s="119">
        <f>6011.15*C9</f>
        <v>5760.6854166666662</v>
      </c>
      <c r="D22" s="119"/>
      <c r="E22" s="119">
        <f>6011.15*E9</f>
        <v>6011.15</v>
      </c>
      <c r="F22" s="129">
        <f>6011.15</f>
        <v>6011.15</v>
      </c>
      <c r="G22" s="395">
        <v>4973</v>
      </c>
      <c r="H22" s="126"/>
      <c r="I22" s="395">
        <v>5121</v>
      </c>
      <c r="J22" s="531"/>
      <c r="K22" s="395">
        <v>5121</v>
      </c>
      <c r="L22" s="565">
        <v>5121</v>
      </c>
      <c r="M22" s="566">
        <v>5121</v>
      </c>
      <c r="N22" s="566">
        <v>5121</v>
      </c>
      <c r="O22" s="566">
        <v>5121</v>
      </c>
      <c r="P22" s="566">
        <v>5121</v>
      </c>
      <c r="Q22" s="600">
        <v>5385</v>
      </c>
      <c r="R22" s="561">
        <f>+$Q22</f>
        <v>5385</v>
      </c>
      <c r="S22" s="561">
        <f t="shared" ref="S22:V23" si="7">+$Q22</f>
        <v>5385</v>
      </c>
      <c r="T22" s="561">
        <f t="shared" si="7"/>
        <v>5385</v>
      </c>
      <c r="U22" s="561">
        <f t="shared" si="7"/>
        <v>5385</v>
      </c>
      <c r="V22" s="561">
        <f t="shared" si="7"/>
        <v>5385</v>
      </c>
      <c r="W22" s="132" t="s">
        <v>434</v>
      </c>
    </row>
    <row r="23" spans="1:25" x14ac:dyDescent="0.35">
      <c r="A23" s="176" t="s">
        <v>203</v>
      </c>
      <c r="B23" s="176"/>
      <c r="C23" s="118">
        <v>0</v>
      </c>
      <c r="D23" s="118">
        <v>0</v>
      </c>
      <c r="E23" s="118">
        <v>0</v>
      </c>
      <c r="F23" s="126">
        <v>0</v>
      </c>
      <c r="G23" s="395">
        <v>2600</v>
      </c>
      <c r="H23" s="126"/>
      <c r="I23" s="395">
        <v>2600</v>
      </c>
      <c r="J23" s="139"/>
      <c r="K23" s="395">
        <v>2600</v>
      </c>
      <c r="L23" s="565">
        <v>2600</v>
      </c>
      <c r="M23" s="566">
        <v>2600</v>
      </c>
      <c r="N23" s="566">
        <v>2600</v>
      </c>
      <c r="O23" s="566">
        <v>2600</v>
      </c>
      <c r="P23" s="566">
        <v>2600</v>
      </c>
      <c r="Q23" s="600">
        <v>4420</v>
      </c>
      <c r="R23" s="561">
        <f>+$Q23</f>
        <v>4420</v>
      </c>
      <c r="S23" s="561">
        <f t="shared" si="7"/>
        <v>4420</v>
      </c>
      <c r="T23" s="561">
        <f t="shared" si="7"/>
        <v>4420</v>
      </c>
      <c r="U23" s="561">
        <f t="shared" si="7"/>
        <v>4420</v>
      </c>
      <c r="V23" s="561">
        <f t="shared" si="7"/>
        <v>4420</v>
      </c>
      <c r="W23" s="132" t="s">
        <v>434</v>
      </c>
    </row>
    <row r="24" spans="1:25" ht="14.5" hidden="1" customHeight="1" x14ac:dyDescent="0.35">
      <c r="A24" s="176" t="s">
        <v>204</v>
      </c>
      <c r="B24" s="176"/>
      <c r="C24" s="119">
        <f>+C22+C23</f>
        <v>5760.6854166666662</v>
      </c>
      <c r="D24" s="119">
        <f>+D22+D23</f>
        <v>0</v>
      </c>
      <c r="E24" s="119">
        <f>+E22+E23</f>
        <v>6011.15</v>
      </c>
      <c r="F24" s="129">
        <f>+F22+F23</f>
        <v>6011.15</v>
      </c>
      <c r="G24" s="188">
        <f>+G22+G23</f>
        <v>7573</v>
      </c>
      <c r="H24" s="126"/>
      <c r="I24" s="188">
        <f>+I22+I23</f>
        <v>7721</v>
      </c>
      <c r="J24" s="1383" t="s">
        <v>282</v>
      </c>
      <c r="K24" s="188">
        <f t="shared" ref="K24:V24" si="8">+K22+K23</f>
        <v>7721</v>
      </c>
      <c r="L24" s="561">
        <f t="shared" si="8"/>
        <v>7721</v>
      </c>
      <c r="M24" s="567">
        <f t="shared" si="8"/>
        <v>7721</v>
      </c>
      <c r="N24" s="567">
        <f t="shared" si="8"/>
        <v>7721</v>
      </c>
      <c r="O24" s="567">
        <f t="shared" si="8"/>
        <v>7721</v>
      </c>
      <c r="P24" s="567">
        <f t="shared" si="8"/>
        <v>7721</v>
      </c>
      <c r="Q24" s="131">
        <f t="shared" si="8"/>
        <v>9805</v>
      </c>
      <c r="R24" s="561">
        <f t="shared" si="8"/>
        <v>9805</v>
      </c>
      <c r="S24" s="567">
        <f t="shared" si="8"/>
        <v>9805</v>
      </c>
      <c r="T24" s="567">
        <f t="shared" si="8"/>
        <v>9805</v>
      </c>
      <c r="U24" s="567">
        <f t="shared" si="8"/>
        <v>9805</v>
      </c>
      <c r="V24" s="567">
        <f t="shared" si="8"/>
        <v>9805</v>
      </c>
    </row>
    <row r="25" spans="1:25" ht="5" hidden="1" customHeight="1" x14ac:dyDescent="0.35">
      <c r="A25" s="176"/>
      <c r="B25" s="176"/>
      <c r="C25" s="127">
        <v>0.25</v>
      </c>
      <c r="D25" s="127"/>
      <c r="E25" s="127">
        <v>0.25</v>
      </c>
      <c r="F25" s="128">
        <v>0.25</v>
      </c>
      <c r="G25" s="424">
        <v>0.25</v>
      </c>
      <c r="H25" s="128"/>
      <c r="I25" s="424"/>
      <c r="J25" s="1383"/>
      <c r="K25" s="424"/>
      <c r="L25" s="568"/>
      <c r="M25" s="569"/>
      <c r="N25" s="569"/>
      <c r="O25" s="569"/>
      <c r="P25" s="569"/>
      <c r="Q25" s="601"/>
      <c r="R25" s="568"/>
      <c r="S25" s="569"/>
      <c r="T25" s="569"/>
      <c r="U25" s="569"/>
      <c r="V25" s="569"/>
    </row>
    <row r="26" spans="1:25" hidden="1" x14ac:dyDescent="0.35">
      <c r="A26" s="184" t="s">
        <v>183</v>
      </c>
      <c r="B26" s="184"/>
      <c r="C26" s="200">
        <f>ROUND(+C24/(1-C25),0)</f>
        <v>7681</v>
      </c>
      <c r="D26" s="201">
        <v>8015</v>
      </c>
      <c r="E26" s="200">
        <f>ROUND(+E24/(1-E25),0)</f>
        <v>8015</v>
      </c>
      <c r="F26" s="200">
        <f>ROUND(+F24/(1-F25),0)</f>
        <v>8015</v>
      </c>
      <c r="G26" s="396">
        <f>ROUND(+G24/(1-G25),0)</f>
        <v>10097</v>
      </c>
      <c r="H26" s="202"/>
      <c r="I26" s="396">
        <f>+I24</f>
        <v>7721</v>
      </c>
      <c r="J26" s="1383"/>
      <c r="K26" s="396">
        <f>+K22+K23</f>
        <v>7721</v>
      </c>
      <c r="L26" s="570">
        <f>+L24</f>
        <v>7721</v>
      </c>
      <c r="M26" s="571">
        <f>+M24</f>
        <v>7721</v>
      </c>
      <c r="N26" s="571">
        <f>+N24</f>
        <v>7721</v>
      </c>
      <c r="O26" s="571">
        <f>+O24</f>
        <v>7721</v>
      </c>
      <c r="P26" s="571">
        <f>+P24</f>
        <v>7721</v>
      </c>
      <c r="Q26" s="602">
        <f>+Q22+Q23</f>
        <v>9805</v>
      </c>
      <c r="R26" s="570">
        <f>+R24</f>
        <v>9805</v>
      </c>
      <c r="S26" s="571">
        <f>+S24</f>
        <v>9805</v>
      </c>
      <c r="T26" s="571">
        <f>+T24</f>
        <v>9805</v>
      </c>
      <c r="U26" s="571">
        <f>+U24</f>
        <v>9805</v>
      </c>
      <c r="V26" s="571">
        <f>+V24</f>
        <v>9805</v>
      </c>
      <c r="W26" s="132" t="s">
        <v>492</v>
      </c>
    </row>
    <row r="27" spans="1:25" ht="3.5" hidden="1" customHeight="1" x14ac:dyDescent="0.35">
      <c r="A27" s="176"/>
      <c r="B27" s="176"/>
      <c r="C27" s="119"/>
      <c r="D27" s="119"/>
      <c r="E27" s="119"/>
      <c r="F27" s="178"/>
      <c r="G27" s="169"/>
      <c r="H27" s="178"/>
      <c r="I27" s="169"/>
      <c r="J27" s="1383"/>
      <c r="K27" s="169"/>
      <c r="L27" s="553"/>
      <c r="M27" s="572"/>
      <c r="N27" s="572"/>
      <c r="O27" s="572"/>
      <c r="P27" s="572"/>
      <c r="Q27" s="136"/>
      <c r="R27" s="553"/>
      <c r="S27" s="572"/>
      <c r="T27" s="572"/>
      <c r="U27" s="572"/>
      <c r="V27" s="572"/>
    </row>
    <row r="28" spans="1:25" hidden="1" x14ac:dyDescent="0.35">
      <c r="A28" s="176" t="s">
        <v>283</v>
      </c>
      <c r="B28" s="176"/>
      <c r="C28" s="118">
        <v>0</v>
      </c>
      <c r="D28" s="118">
        <v>0</v>
      </c>
      <c r="E28" s="118">
        <v>8015</v>
      </c>
      <c r="F28" s="126">
        <v>0</v>
      </c>
      <c r="G28" s="395"/>
      <c r="H28" s="126"/>
      <c r="I28" s="395">
        <v>2600</v>
      </c>
      <c r="J28" s="1383"/>
      <c r="K28" s="395">
        <v>0</v>
      </c>
      <c r="L28" s="565">
        <v>0</v>
      </c>
      <c r="M28" s="566">
        <v>2600</v>
      </c>
      <c r="N28" s="566">
        <v>2600</v>
      </c>
      <c r="O28" s="566">
        <v>2600</v>
      </c>
      <c r="P28" s="566">
        <v>2600</v>
      </c>
      <c r="Q28" s="600">
        <v>0</v>
      </c>
      <c r="R28" s="561">
        <f t="shared" ref="R28:V29" si="9">+$Q28</f>
        <v>0</v>
      </c>
      <c r="S28" s="561">
        <f t="shared" si="9"/>
        <v>0</v>
      </c>
      <c r="T28" s="561">
        <f t="shared" si="9"/>
        <v>0</v>
      </c>
      <c r="U28" s="561">
        <f t="shared" si="9"/>
        <v>0</v>
      </c>
      <c r="V28" s="561">
        <f t="shared" si="9"/>
        <v>0</v>
      </c>
    </row>
    <row r="29" spans="1:25" hidden="1" x14ac:dyDescent="0.35">
      <c r="A29" s="176" t="s">
        <v>476</v>
      </c>
      <c r="B29" s="176"/>
      <c r="C29" s="127">
        <v>0.25</v>
      </c>
      <c r="D29" s="127"/>
      <c r="E29" s="127">
        <v>0.25</v>
      </c>
      <c r="F29" s="128">
        <v>0.25</v>
      </c>
      <c r="G29" s="190"/>
      <c r="H29" s="128"/>
      <c r="I29" s="424">
        <v>0.25</v>
      </c>
      <c r="J29" s="1383"/>
      <c r="K29" s="424">
        <v>0.25</v>
      </c>
      <c r="L29" s="568">
        <v>0.25</v>
      </c>
      <c r="M29" s="569">
        <v>0.25</v>
      </c>
      <c r="N29" s="569">
        <v>0.25</v>
      </c>
      <c r="O29" s="569">
        <v>0.25</v>
      </c>
      <c r="P29" s="569">
        <v>0.25</v>
      </c>
      <c r="Q29" s="601">
        <v>0.25</v>
      </c>
      <c r="R29" s="758">
        <f t="shared" si="9"/>
        <v>0.25</v>
      </c>
      <c r="S29" s="758">
        <f t="shared" si="9"/>
        <v>0.25</v>
      </c>
      <c r="T29" s="758">
        <f t="shared" si="9"/>
        <v>0.25</v>
      </c>
      <c r="U29" s="758">
        <f t="shared" si="9"/>
        <v>0.25</v>
      </c>
      <c r="V29" s="758">
        <f t="shared" si="9"/>
        <v>0.25</v>
      </c>
    </row>
    <row r="30" spans="1:25" hidden="1" x14ac:dyDescent="0.35">
      <c r="A30" s="184" t="s">
        <v>312</v>
      </c>
      <c r="B30" s="184"/>
      <c r="C30" s="426"/>
      <c r="D30" s="426"/>
      <c r="E30" s="426"/>
      <c r="F30" s="427"/>
      <c r="G30" s="428">
        <v>2600</v>
      </c>
      <c r="H30" s="427"/>
      <c r="I30" s="396">
        <f>ROUND(+I28/(1-I29),0)</f>
        <v>3467</v>
      </c>
      <c r="J30" s="425"/>
      <c r="K30" s="396">
        <f t="shared" ref="K30:V30" si="10">ROUND(+K28/(1-K29),0)</f>
        <v>0</v>
      </c>
      <c r="L30" s="570">
        <f t="shared" si="10"/>
        <v>0</v>
      </c>
      <c r="M30" s="571">
        <f t="shared" si="10"/>
        <v>3467</v>
      </c>
      <c r="N30" s="571">
        <f t="shared" si="10"/>
        <v>3467</v>
      </c>
      <c r="O30" s="571">
        <f t="shared" si="10"/>
        <v>3467</v>
      </c>
      <c r="P30" s="571">
        <f t="shared" si="10"/>
        <v>3467</v>
      </c>
      <c r="Q30" s="602">
        <f t="shared" si="10"/>
        <v>0</v>
      </c>
      <c r="R30" s="570">
        <f t="shared" si="10"/>
        <v>0</v>
      </c>
      <c r="S30" s="571">
        <f t="shared" si="10"/>
        <v>0</v>
      </c>
      <c r="T30" s="571">
        <f t="shared" si="10"/>
        <v>0</v>
      </c>
      <c r="U30" s="571">
        <f t="shared" si="10"/>
        <v>0</v>
      </c>
      <c r="V30" s="571">
        <f t="shared" si="10"/>
        <v>0</v>
      </c>
    </row>
    <row r="31" spans="1:25" x14ac:dyDescent="0.35">
      <c r="A31" s="191" t="s">
        <v>184</v>
      </c>
      <c r="B31" s="191"/>
      <c r="C31" s="193">
        <f>+C26-C28</f>
        <v>7681</v>
      </c>
      <c r="D31" s="193">
        <f>+D26-D28</f>
        <v>8015</v>
      </c>
      <c r="E31" s="193">
        <f>+E26-E28</f>
        <v>0</v>
      </c>
      <c r="F31" s="194">
        <f>+F26-F28</f>
        <v>8015</v>
      </c>
      <c r="G31" s="195">
        <f>+G26-G30</f>
        <v>7497</v>
      </c>
      <c r="H31" s="194"/>
      <c r="I31" s="195">
        <f>+I24-I28</f>
        <v>5121</v>
      </c>
      <c r="K31" s="195">
        <f t="shared" ref="K31:V31" si="11">+K24-K28</f>
        <v>7721</v>
      </c>
      <c r="L31" s="563">
        <f t="shared" si="11"/>
        <v>7721</v>
      </c>
      <c r="M31" s="573">
        <f t="shared" si="11"/>
        <v>5121</v>
      </c>
      <c r="N31" s="573">
        <f t="shared" si="11"/>
        <v>5121</v>
      </c>
      <c r="O31" s="573">
        <f t="shared" si="11"/>
        <v>5121</v>
      </c>
      <c r="P31" s="573">
        <f t="shared" si="11"/>
        <v>5121</v>
      </c>
      <c r="Q31" s="142">
        <f t="shared" si="11"/>
        <v>9805</v>
      </c>
      <c r="R31" s="563">
        <f t="shared" si="11"/>
        <v>9805</v>
      </c>
      <c r="S31" s="573">
        <f t="shared" si="11"/>
        <v>9805</v>
      </c>
      <c r="T31" s="573">
        <f t="shared" si="11"/>
        <v>9805</v>
      </c>
      <c r="U31" s="573">
        <f t="shared" si="11"/>
        <v>9805</v>
      </c>
      <c r="V31" s="573">
        <f t="shared" si="11"/>
        <v>9805</v>
      </c>
    </row>
    <row r="32" spans="1:25" x14ac:dyDescent="0.35">
      <c r="A32" s="196"/>
      <c r="B32" s="196"/>
      <c r="C32" s="196"/>
      <c r="D32" s="196"/>
      <c r="E32" s="196"/>
      <c r="F32" s="196"/>
      <c r="G32" s="196"/>
      <c r="H32" s="196"/>
      <c r="I32" s="196"/>
      <c r="K32" s="196"/>
      <c r="L32" s="196"/>
      <c r="M32" s="196"/>
      <c r="N32" s="196"/>
      <c r="O32" s="196"/>
      <c r="P32" s="196"/>
      <c r="Q32" s="196"/>
      <c r="R32" s="196"/>
      <c r="S32" s="196"/>
      <c r="T32" s="196"/>
      <c r="U32" s="196"/>
      <c r="V32" s="196"/>
    </row>
    <row r="33" spans="1:22" x14ac:dyDescent="0.35">
      <c r="A33" s="197" t="s">
        <v>477</v>
      </c>
      <c r="B33" s="162"/>
      <c r="C33" s="203">
        <v>0.11</v>
      </c>
      <c r="D33" s="203">
        <v>0.11</v>
      </c>
      <c r="E33" s="203">
        <v>0.11</v>
      </c>
      <c r="F33" s="203">
        <v>0.11</v>
      </c>
      <c r="G33" s="397">
        <v>0.11</v>
      </c>
      <c r="H33" s="203"/>
      <c r="I33" s="397">
        <v>0.11</v>
      </c>
      <c r="K33" s="397">
        <v>0.11</v>
      </c>
      <c r="L33" s="579">
        <v>0.11</v>
      </c>
      <c r="M33" s="574">
        <v>0.11</v>
      </c>
      <c r="N33" s="574">
        <v>0.11</v>
      </c>
      <c r="O33" s="574">
        <v>0.11</v>
      </c>
      <c r="P33" s="574">
        <v>0.11</v>
      </c>
      <c r="Q33" s="596">
        <v>0.11</v>
      </c>
      <c r="R33" s="757">
        <f>+$Q33</f>
        <v>0.11</v>
      </c>
      <c r="S33" s="757">
        <f>+$Q33</f>
        <v>0.11</v>
      </c>
      <c r="T33" s="757">
        <f>+$Q33</f>
        <v>0.11</v>
      </c>
      <c r="U33" s="757">
        <f>+$Q33</f>
        <v>0.11</v>
      </c>
      <c r="V33" s="757">
        <f>+$Q33</f>
        <v>0.11</v>
      </c>
    </row>
    <row r="34" spans="1:22" x14ac:dyDescent="0.35">
      <c r="A34" s="176" t="s">
        <v>188</v>
      </c>
      <c r="B34" s="176"/>
      <c r="C34" s="149">
        <f>+C19</f>
        <v>70938.030791666679</v>
      </c>
      <c r="D34" s="149">
        <f>+D19</f>
        <v>70938.030791666679</v>
      </c>
      <c r="E34" s="149">
        <f>+E19</f>
        <v>82650.440499999997</v>
      </c>
      <c r="F34" s="149">
        <f>+F19</f>
        <v>74022.293000000005</v>
      </c>
      <c r="G34" s="166">
        <f>+G19</f>
        <v>78301.380499999999</v>
      </c>
      <c r="H34" s="149"/>
      <c r="I34" s="166">
        <f>+I19</f>
        <v>80745</v>
      </c>
      <c r="K34" s="166">
        <f t="shared" ref="K34:V34" si="12">+K19</f>
        <v>80210</v>
      </c>
      <c r="L34" s="552">
        <f t="shared" si="12"/>
        <v>81403</v>
      </c>
      <c r="M34" s="575">
        <f t="shared" si="12"/>
        <v>82286</v>
      </c>
      <c r="N34" s="575">
        <f t="shared" si="12"/>
        <v>81515</v>
      </c>
      <c r="O34" s="575">
        <f t="shared" si="12"/>
        <v>80745</v>
      </c>
      <c r="P34" s="575">
        <f t="shared" si="12"/>
        <v>83942</v>
      </c>
      <c r="Q34" s="135">
        <f t="shared" si="12"/>
        <v>84504</v>
      </c>
      <c r="R34" s="552">
        <f t="shared" si="12"/>
        <v>86713</v>
      </c>
      <c r="S34" s="575">
        <f t="shared" si="12"/>
        <v>81814</v>
      </c>
      <c r="T34" s="575">
        <f t="shared" si="12"/>
        <v>81012</v>
      </c>
      <c r="U34" s="575">
        <f t="shared" si="12"/>
        <v>80210</v>
      </c>
      <c r="V34" s="575">
        <f t="shared" si="12"/>
        <v>84504</v>
      </c>
    </row>
    <row r="35" spans="1:22" x14ac:dyDescent="0.35">
      <c r="A35" s="176" t="s">
        <v>160</v>
      </c>
      <c r="B35" s="176"/>
      <c r="C35" s="149">
        <f>+C34*C33</f>
        <v>7803.1833870833343</v>
      </c>
      <c r="D35" s="205">
        <f>((+D34+D36)+(D17*D26))*D33</f>
        <v>8752.2796120833355</v>
      </c>
      <c r="E35" s="149">
        <f>+E34*E33</f>
        <v>9091.5484550000001</v>
      </c>
      <c r="F35" s="149">
        <f>+F34*F33</f>
        <v>8142.4522300000008</v>
      </c>
      <c r="G35" s="166">
        <f>ROUND(+G34*G33,0)</f>
        <v>8613</v>
      </c>
      <c r="H35" s="213">
        <v>8613</v>
      </c>
      <c r="I35" s="166">
        <f>ROUND(+I34*I33,0)</f>
        <v>8882</v>
      </c>
      <c r="K35" s="166">
        <f t="shared" ref="K35:V35" si="13">ROUND(+K34*K33,0)</f>
        <v>8823</v>
      </c>
      <c r="L35" s="552">
        <f t="shared" si="13"/>
        <v>8954</v>
      </c>
      <c r="M35" s="575">
        <f t="shared" si="13"/>
        <v>9051</v>
      </c>
      <c r="N35" s="575">
        <f t="shared" si="13"/>
        <v>8967</v>
      </c>
      <c r="O35" s="575">
        <f t="shared" si="13"/>
        <v>8882</v>
      </c>
      <c r="P35" s="575">
        <f t="shared" si="13"/>
        <v>9234</v>
      </c>
      <c r="Q35" s="135">
        <f t="shared" si="13"/>
        <v>9295</v>
      </c>
      <c r="R35" s="552">
        <f t="shared" si="13"/>
        <v>9538</v>
      </c>
      <c r="S35" s="575">
        <f t="shared" si="13"/>
        <v>9000</v>
      </c>
      <c r="T35" s="575">
        <f t="shared" si="13"/>
        <v>8911</v>
      </c>
      <c r="U35" s="575">
        <f t="shared" si="13"/>
        <v>8823</v>
      </c>
      <c r="V35" s="575">
        <f t="shared" si="13"/>
        <v>9295</v>
      </c>
    </row>
    <row r="36" spans="1:22" x14ac:dyDescent="0.35">
      <c r="A36" s="176" t="s">
        <v>186</v>
      </c>
      <c r="B36" s="176"/>
      <c r="C36" s="149">
        <f>+C31</f>
        <v>7681</v>
      </c>
      <c r="D36" s="149">
        <f>+D31</f>
        <v>8015</v>
      </c>
      <c r="E36" s="149">
        <f>+E31</f>
        <v>0</v>
      </c>
      <c r="F36" s="149">
        <f>+F31</f>
        <v>8015</v>
      </c>
      <c r="G36" s="166">
        <f>+G31</f>
        <v>7497</v>
      </c>
      <c r="H36" s="213">
        <v>5090</v>
      </c>
      <c r="I36" s="166">
        <f>+I31</f>
        <v>5121</v>
      </c>
      <c r="K36" s="166">
        <f t="shared" ref="K36:V36" si="14">+K31</f>
        <v>7721</v>
      </c>
      <c r="L36" s="552">
        <f t="shared" si="14"/>
        <v>7721</v>
      </c>
      <c r="M36" s="575">
        <f t="shared" si="14"/>
        <v>5121</v>
      </c>
      <c r="N36" s="575">
        <f t="shared" si="14"/>
        <v>5121</v>
      </c>
      <c r="O36" s="575">
        <f t="shared" si="14"/>
        <v>5121</v>
      </c>
      <c r="P36" s="575">
        <f t="shared" si="14"/>
        <v>5121</v>
      </c>
      <c r="Q36" s="135">
        <f t="shared" si="14"/>
        <v>9805</v>
      </c>
      <c r="R36" s="552">
        <f t="shared" si="14"/>
        <v>9805</v>
      </c>
      <c r="S36" s="575">
        <f t="shared" si="14"/>
        <v>9805</v>
      </c>
      <c r="T36" s="575">
        <f t="shared" si="14"/>
        <v>9805</v>
      </c>
      <c r="U36" s="575">
        <f t="shared" si="14"/>
        <v>9805</v>
      </c>
      <c r="V36" s="575">
        <f t="shared" si="14"/>
        <v>9805</v>
      </c>
    </row>
    <row r="37" spans="1:22" x14ac:dyDescent="0.35">
      <c r="A37" s="433" t="s">
        <v>285</v>
      </c>
      <c r="B37" s="433"/>
      <c r="C37" s="434">
        <f t="shared" ref="C37:H37" si="15">+C35+C36</f>
        <v>15484.183387083334</v>
      </c>
      <c r="D37" s="434">
        <f t="shared" si="15"/>
        <v>16767.279612083337</v>
      </c>
      <c r="E37" s="434">
        <f t="shared" si="15"/>
        <v>9091.5484550000001</v>
      </c>
      <c r="F37" s="434">
        <f t="shared" si="15"/>
        <v>16157.452230000001</v>
      </c>
      <c r="G37" s="435">
        <f t="shared" si="15"/>
        <v>16110</v>
      </c>
      <c r="H37" s="613">
        <f t="shared" si="15"/>
        <v>13703</v>
      </c>
      <c r="I37" s="435">
        <f t="shared" ref="I37:Q37" si="16">+I35+I36</f>
        <v>14003</v>
      </c>
      <c r="K37" s="435">
        <f>+K35+K36</f>
        <v>16544</v>
      </c>
      <c r="L37" s="580">
        <f t="shared" si="16"/>
        <v>16675</v>
      </c>
      <c r="M37" s="576">
        <f t="shared" si="16"/>
        <v>14172</v>
      </c>
      <c r="N37" s="576">
        <f t="shared" si="16"/>
        <v>14088</v>
      </c>
      <c r="O37" s="576">
        <f>+O35+O36</f>
        <v>14003</v>
      </c>
      <c r="P37" s="576">
        <f t="shared" si="16"/>
        <v>14355</v>
      </c>
      <c r="Q37" s="597">
        <f t="shared" si="16"/>
        <v>19100</v>
      </c>
      <c r="R37" s="580">
        <f>+R35+R36</f>
        <v>19343</v>
      </c>
      <c r="S37" s="576">
        <f>+S35+S36</f>
        <v>18805</v>
      </c>
      <c r="T37" s="576">
        <f>+T35+T36</f>
        <v>18716</v>
      </c>
      <c r="U37" s="576">
        <f>+U35+U36</f>
        <v>18628</v>
      </c>
      <c r="V37" s="576">
        <f>+V35+V36</f>
        <v>19100</v>
      </c>
    </row>
    <row r="38" spans="1:22" x14ac:dyDescent="0.35">
      <c r="A38" s="176" t="s">
        <v>191</v>
      </c>
      <c r="B38" s="176"/>
      <c r="C38" s="429">
        <f>+C37/C34</f>
        <v>0.21827760390696258</v>
      </c>
      <c r="D38" s="429">
        <f>+D37/D34</f>
        <v>0.23636516865440033</v>
      </c>
      <c r="E38" s="429">
        <f>+E37/E34</f>
        <v>0.11</v>
      </c>
      <c r="F38" s="429">
        <f>+F37/F34</f>
        <v>0.2182781912740801</v>
      </c>
      <c r="G38" s="430">
        <f>+G37/G34</f>
        <v>0.20574349899233257</v>
      </c>
      <c r="H38" s="429"/>
      <c r="I38" s="430">
        <f>+I37/I34</f>
        <v>0.17342250294135861</v>
      </c>
      <c r="K38" s="430">
        <f t="shared" ref="K38:V38" si="17">+K37/K34</f>
        <v>0.20625857125046751</v>
      </c>
      <c r="L38" s="581">
        <f t="shared" si="17"/>
        <v>0.20484503028143927</v>
      </c>
      <c r="M38" s="577">
        <f t="shared" si="17"/>
        <v>0.1722285686508033</v>
      </c>
      <c r="N38" s="577">
        <f t="shared" si="17"/>
        <v>0.17282708703919525</v>
      </c>
      <c r="O38" s="577">
        <f t="shared" si="17"/>
        <v>0.17342250294135861</v>
      </c>
      <c r="P38" s="577">
        <f t="shared" si="17"/>
        <v>0.17101093612256082</v>
      </c>
      <c r="Q38" s="598">
        <f t="shared" si="17"/>
        <v>0.22602480355959481</v>
      </c>
      <c r="R38" s="581">
        <f t="shared" si="17"/>
        <v>0.22306920530946917</v>
      </c>
      <c r="S38" s="577">
        <f t="shared" si="17"/>
        <v>0.22985063681032586</v>
      </c>
      <c r="T38" s="577">
        <f t="shared" si="17"/>
        <v>0.23102750209845455</v>
      </c>
      <c r="U38" s="577">
        <f t="shared" si="17"/>
        <v>0.23224036903129286</v>
      </c>
      <c r="V38" s="577">
        <f t="shared" si="17"/>
        <v>0.22602480355959481</v>
      </c>
    </row>
    <row r="39" spans="1:22" x14ac:dyDescent="0.35">
      <c r="A39" s="176" t="s">
        <v>284</v>
      </c>
      <c r="B39" s="176"/>
      <c r="C39" s="429">
        <f>+C38/C35</f>
        <v>2.7972891713435705E-5</v>
      </c>
      <c r="D39" s="429">
        <f>+D38/D35</f>
        <v>2.7006126304291768E-5</v>
      </c>
      <c r="E39" s="429">
        <f>+E38/E35</f>
        <v>1.2099149066241214E-5</v>
      </c>
      <c r="F39" s="429">
        <f>+F38/F35</f>
        <v>2.6807426695100191E-5</v>
      </c>
      <c r="G39" s="430"/>
      <c r="H39" s="429"/>
      <c r="I39" s="594">
        <v>0.17499999999999999</v>
      </c>
      <c r="K39" s="594">
        <v>0.20499999999999999</v>
      </c>
      <c r="L39" s="559">
        <v>0.17499999999999999</v>
      </c>
      <c r="M39" s="578">
        <v>0.17499999999999999</v>
      </c>
      <c r="N39" s="578">
        <v>0.17499999999999999</v>
      </c>
      <c r="O39" s="578">
        <v>0.17499999999999999</v>
      </c>
      <c r="P39" s="578">
        <v>0.17499999999999999</v>
      </c>
      <c r="Q39" s="599">
        <v>0.22500000000000001</v>
      </c>
      <c r="R39" s="559">
        <v>0.22500000000000001</v>
      </c>
      <c r="S39" s="578">
        <v>0.23</v>
      </c>
      <c r="T39" s="578">
        <v>0.23</v>
      </c>
      <c r="U39" s="578">
        <v>0.20499999999999999</v>
      </c>
      <c r="V39" s="578">
        <v>0.22500000000000001</v>
      </c>
    </row>
    <row r="40" spans="1:22" x14ac:dyDescent="0.35">
      <c r="A40" s="191" t="s">
        <v>187</v>
      </c>
      <c r="B40" s="431"/>
      <c r="C40" s="432"/>
      <c r="D40" s="432"/>
      <c r="E40" s="432"/>
      <c r="F40" s="432"/>
      <c r="G40" s="195">
        <f>+G37</f>
        <v>16110</v>
      </c>
      <c r="H40" s="432"/>
      <c r="I40" s="195">
        <f>ROUND(+I19*I39,0)</f>
        <v>14130</v>
      </c>
      <c r="K40" s="195">
        <f t="shared" ref="K40:V40" si="18">ROUND(+K19*K39,0)</f>
        <v>16443</v>
      </c>
      <c r="L40" s="563">
        <f t="shared" si="18"/>
        <v>14246</v>
      </c>
      <c r="M40" s="573">
        <f t="shared" si="18"/>
        <v>14400</v>
      </c>
      <c r="N40" s="573">
        <f t="shared" si="18"/>
        <v>14265</v>
      </c>
      <c r="O40" s="573">
        <f t="shared" si="18"/>
        <v>14130</v>
      </c>
      <c r="P40" s="573">
        <f t="shared" si="18"/>
        <v>14690</v>
      </c>
      <c r="Q40" s="142">
        <f t="shared" si="18"/>
        <v>19013</v>
      </c>
      <c r="R40" s="563">
        <f t="shared" si="18"/>
        <v>19510</v>
      </c>
      <c r="S40" s="573">
        <f t="shared" si="18"/>
        <v>18817</v>
      </c>
      <c r="T40" s="573">
        <f t="shared" si="18"/>
        <v>18633</v>
      </c>
      <c r="U40" s="573">
        <f t="shared" si="18"/>
        <v>16443</v>
      </c>
      <c r="V40" s="573">
        <f t="shared" si="18"/>
        <v>19013</v>
      </c>
    </row>
    <row r="41" spans="1:22" x14ac:dyDescent="0.35">
      <c r="A41" s="196"/>
      <c r="B41" s="196"/>
      <c r="C41" s="196"/>
      <c r="D41" s="196"/>
      <c r="E41" s="196"/>
      <c r="F41" s="196"/>
      <c r="G41" s="196"/>
      <c r="H41" s="196"/>
      <c r="I41" s="196"/>
      <c r="K41" s="196"/>
      <c r="L41" s="196"/>
      <c r="M41" s="196"/>
      <c r="N41" s="196"/>
      <c r="O41" s="196"/>
      <c r="P41" s="196"/>
      <c r="Q41" s="196"/>
      <c r="R41" s="196"/>
      <c r="S41" s="196"/>
      <c r="T41" s="196"/>
      <c r="U41" s="196"/>
      <c r="V41" s="196"/>
    </row>
    <row r="42" spans="1:22" x14ac:dyDescent="0.35">
      <c r="A42" s="197" t="s">
        <v>190</v>
      </c>
      <c r="B42" s="162"/>
      <c r="C42" s="198"/>
      <c r="D42" s="198"/>
      <c r="E42" s="198"/>
      <c r="F42" s="199"/>
      <c r="G42" s="163"/>
      <c r="H42" s="199"/>
      <c r="I42" s="163"/>
      <c r="K42" s="163"/>
      <c r="L42" s="551"/>
      <c r="M42" s="564"/>
      <c r="N42" s="564"/>
      <c r="O42" s="564"/>
      <c r="P42" s="564"/>
      <c r="Q42" s="134"/>
      <c r="R42" s="551"/>
      <c r="S42" s="564"/>
      <c r="T42" s="564"/>
      <c r="U42" s="564"/>
      <c r="V42" s="564"/>
    </row>
    <row r="43" spans="1:22" x14ac:dyDescent="0.35">
      <c r="A43" s="176" t="s">
        <v>478</v>
      </c>
      <c r="B43" s="176"/>
      <c r="C43" s="208">
        <v>0.03</v>
      </c>
      <c r="D43" s="208">
        <v>0.03</v>
      </c>
      <c r="E43" s="208">
        <v>0.03</v>
      </c>
      <c r="F43" s="209">
        <v>0.03</v>
      </c>
      <c r="G43" s="398">
        <v>2.5000000000000001E-2</v>
      </c>
      <c r="H43" s="209">
        <v>2.5000000000000001E-2</v>
      </c>
      <c r="I43" s="398">
        <v>1.4999999999999999E-2</v>
      </c>
      <c r="K43" s="398">
        <v>1.4999999999999999E-2</v>
      </c>
      <c r="L43" s="585">
        <v>1.4999999999999999E-2</v>
      </c>
      <c r="M43" s="582">
        <v>1.4999999999999999E-2</v>
      </c>
      <c r="N43" s="582">
        <v>1.4999999999999999E-2</v>
      </c>
      <c r="O43" s="582">
        <v>1.4999999999999999E-2</v>
      </c>
      <c r="P43" s="582">
        <v>1.4999999999999999E-2</v>
      </c>
      <c r="Q43" s="402">
        <v>1.4999999999999999E-2</v>
      </c>
      <c r="R43" s="586">
        <f>+$Q43</f>
        <v>1.4999999999999999E-2</v>
      </c>
      <c r="S43" s="586">
        <f t="shared" ref="S43:V44" si="19">+$Q43</f>
        <v>1.4999999999999999E-2</v>
      </c>
      <c r="T43" s="586">
        <f t="shared" si="19"/>
        <v>1.4999999999999999E-2</v>
      </c>
      <c r="U43" s="586">
        <f t="shared" si="19"/>
        <v>1.4999999999999999E-2</v>
      </c>
      <c r="V43" s="586">
        <f t="shared" si="19"/>
        <v>1.4999999999999999E-2</v>
      </c>
    </row>
    <row r="44" spans="1:22" x14ac:dyDescent="0.35">
      <c r="A44" s="176" t="s">
        <v>479</v>
      </c>
      <c r="B44" s="176"/>
      <c r="C44" s="208">
        <v>3.0000000000000001E-3</v>
      </c>
      <c r="D44" s="208">
        <v>3.0000000000000001E-3</v>
      </c>
      <c r="E44" s="208">
        <v>3.0000000000000001E-3</v>
      </c>
      <c r="F44" s="209">
        <v>3.0000000000000001E-3</v>
      </c>
      <c r="G44" s="398">
        <v>2E-3</v>
      </c>
      <c r="H44" s="209">
        <v>2E-3</v>
      </c>
      <c r="I44" s="398">
        <v>7.0000000000000001E-3</v>
      </c>
      <c r="K44" s="398">
        <v>7.0000000000000001E-3</v>
      </c>
      <c r="L44" s="585">
        <v>7.0000000000000001E-3</v>
      </c>
      <c r="M44" s="582">
        <v>7.0000000000000001E-3</v>
      </c>
      <c r="N44" s="582">
        <v>7.0000000000000001E-3</v>
      </c>
      <c r="O44" s="582">
        <v>7.0000000000000001E-3</v>
      </c>
      <c r="P44" s="582">
        <v>7.0000000000000001E-3</v>
      </c>
      <c r="Q44" s="402">
        <v>7.0000000000000001E-3</v>
      </c>
      <c r="R44" s="586">
        <f>+$Q44</f>
        <v>7.0000000000000001E-3</v>
      </c>
      <c r="S44" s="586">
        <f t="shared" si="19"/>
        <v>7.0000000000000001E-3</v>
      </c>
      <c r="T44" s="586">
        <f t="shared" si="19"/>
        <v>7.0000000000000001E-3</v>
      </c>
      <c r="U44" s="586">
        <f t="shared" si="19"/>
        <v>7.0000000000000001E-3</v>
      </c>
      <c r="V44" s="586">
        <f t="shared" si="19"/>
        <v>7.0000000000000001E-3</v>
      </c>
    </row>
    <row r="45" spans="1:22" hidden="1" x14ac:dyDescent="0.35">
      <c r="A45" s="176" t="s">
        <v>163</v>
      </c>
      <c r="B45" s="176"/>
      <c r="C45" s="208">
        <v>7.0000000000000001E-3</v>
      </c>
      <c r="D45" s="208">
        <v>7.0000000000000001E-3</v>
      </c>
      <c r="E45" s="208">
        <v>7.0000000000000001E-3</v>
      </c>
      <c r="F45" s="209">
        <v>7.0000000000000001E-3</v>
      </c>
      <c r="G45" s="398">
        <v>7.0000000000000001E-3</v>
      </c>
      <c r="H45" s="209">
        <v>7.0000000000000001E-3</v>
      </c>
      <c r="I45" s="398">
        <v>7.0000000000000001E-3</v>
      </c>
      <c r="J45" s="132" t="s">
        <v>335</v>
      </c>
      <c r="K45" s="398">
        <v>0</v>
      </c>
      <c r="L45" s="585">
        <v>0</v>
      </c>
      <c r="M45" s="582">
        <v>0</v>
      </c>
      <c r="N45" s="582">
        <v>0</v>
      </c>
      <c r="O45" s="582">
        <v>0</v>
      </c>
      <c r="P45" s="582">
        <v>0</v>
      </c>
      <c r="Q45" s="402">
        <v>0</v>
      </c>
      <c r="R45" s="585">
        <v>0</v>
      </c>
      <c r="S45" s="582">
        <v>0</v>
      </c>
      <c r="T45" s="582">
        <v>0</v>
      </c>
      <c r="U45" s="582">
        <v>0</v>
      </c>
      <c r="V45" s="582">
        <v>0</v>
      </c>
    </row>
    <row r="46" spans="1:22" x14ac:dyDescent="0.35">
      <c r="A46" s="176" t="s">
        <v>480</v>
      </c>
      <c r="B46" s="176"/>
      <c r="C46" s="210">
        <f t="shared" ref="C46:H46" si="20">+C43+C44+C45</f>
        <v>0.04</v>
      </c>
      <c r="D46" s="210">
        <f t="shared" si="20"/>
        <v>0.04</v>
      </c>
      <c r="E46" s="210">
        <f t="shared" si="20"/>
        <v>0.04</v>
      </c>
      <c r="F46" s="211">
        <f t="shared" si="20"/>
        <v>0.04</v>
      </c>
      <c r="G46" s="399">
        <f t="shared" si="20"/>
        <v>3.4000000000000002E-2</v>
      </c>
      <c r="H46" s="211">
        <f t="shared" si="20"/>
        <v>3.4000000000000002E-2</v>
      </c>
      <c r="I46" s="399">
        <f t="shared" ref="I46:Q46" si="21">+I43+I44+I45</f>
        <v>2.8999999999999998E-2</v>
      </c>
      <c r="K46" s="399">
        <f>+K43+K44+K45</f>
        <v>2.1999999999999999E-2</v>
      </c>
      <c r="L46" s="586">
        <f t="shared" si="21"/>
        <v>2.1999999999999999E-2</v>
      </c>
      <c r="M46" s="583">
        <f t="shared" si="21"/>
        <v>2.1999999999999999E-2</v>
      </c>
      <c r="N46" s="583">
        <f t="shared" si="21"/>
        <v>2.1999999999999999E-2</v>
      </c>
      <c r="O46" s="583">
        <f>+O43+O44+O45</f>
        <v>2.1999999999999999E-2</v>
      </c>
      <c r="P46" s="583">
        <f t="shared" si="21"/>
        <v>2.1999999999999999E-2</v>
      </c>
      <c r="Q46" s="403">
        <f t="shared" si="21"/>
        <v>2.1999999999999999E-2</v>
      </c>
      <c r="R46" s="586">
        <f>+R43+R44+R45</f>
        <v>2.1999999999999999E-2</v>
      </c>
      <c r="S46" s="583">
        <f>+S43+S44+S45</f>
        <v>2.1999999999999999E-2</v>
      </c>
      <c r="T46" s="583">
        <f>+T43+T44+T45</f>
        <v>2.1999999999999999E-2</v>
      </c>
      <c r="U46" s="583">
        <f>+U43+U44+U45</f>
        <v>2.1999999999999999E-2</v>
      </c>
      <c r="V46" s="583">
        <f>+V43+V44+V45</f>
        <v>2.1999999999999999E-2</v>
      </c>
    </row>
    <row r="47" spans="1:22" x14ac:dyDescent="0.35">
      <c r="A47" s="176" t="s">
        <v>188</v>
      </c>
      <c r="B47" s="176"/>
      <c r="C47" s="149">
        <f t="shared" ref="C47:H47" si="22">+C19</f>
        <v>70938.030791666679</v>
      </c>
      <c r="D47" s="149">
        <f t="shared" si="22"/>
        <v>70938.030791666679</v>
      </c>
      <c r="E47" s="149">
        <f t="shared" si="22"/>
        <v>82650.440499999997</v>
      </c>
      <c r="F47" s="204">
        <f t="shared" si="22"/>
        <v>74022.293000000005</v>
      </c>
      <c r="G47" s="166">
        <f t="shared" si="22"/>
        <v>78301.380499999999</v>
      </c>
      <c r="H47" s="204">
        <f t="shared" si="22"/>
        <v>78301.380499999999</v>
      </c>
      <c r="I47" s="166">
        <f t="shared" ref="I47:Q47" si="23">+I19</f>
        <v>80745</v>
      </c>
      <c r="K47" s="166">
        <f>+K19</f>
        <v>80210</v>
      </c>
      <c r="L47" s="552">
        <f t="shared" si="23"/>
        <v>81403</v>
      </c>
      <c r="M47" s="575">
        <f t="shared" si="23"/>
        <v>82286</v>
      </c>
      <c r="N47" s="575">
        <f t="shared" si="23"/>
        <v>81515</v>
      </c>
      <c r="O47" s="575">
        <f>+O19</f>
        <v>80745</v>
      </c>
      <c r="P47" s="575">
        <f t="shared" si="23"/>
        <v>83942</v>
      </c>
      <c r="Q47" s="135">
        <f t="shared" si="23"/>
        <v>84504</v>
      </c>
      <c r="R47" s="552">
        <f>+R19</f>
        <v>86713</v>
      </c>
      <c r="S47" s="575">
        <f>+S19</f>
        <v>81814</v>
      </c>
      <c r="T47" s="575">
        <f>+T19</f>
        <v>81012</v>
      </c>
      <c r="U47" s="575">
        <f>+U19</f>
        <v>80210</v>
      </c>
      <c r="V47" s="575">
        <f>+V19</f>
        <v>84504</v>
      </c>
    </row>
    <row r="48" spans="1:22" ht="29" hidden="1" x14ac:dyDescent="0.35">
      <c r="A48" s="212" t="s">
        <v>195</v>
      </c>
      <c r="B48" s="176"/>
      <c r="C48" s="149">
        <f>+C26</f>
        <v>7681</v>
      </c>
      <c r="D48" s="149">
        <f>+D26</f>
        <v>8015</v>
      </c>
      <c r="E48" s="213">
        <v>0</v>
      </c>
      <c r="F48" s="204">
        <f>+F26</f>
        <v>8015</v>
      </c>
      <c r="G48" s="392">
        <v>0</v>
      </c>
      <c r="H48" s="206">
        <v>0</v>
      </c>
      <c r="I48" s="392">
        <v>0</v>
      </c>
      <c r="K48" s="392">
        <v>0</v>
      </c>
      <c r="L48" s="587">
        <v>0</v>
      </c>
      <c r="M48" s="584">
        <v>0</v>
      </c>
      <c r="N48" s="584">
        <v>0</v>
      </c>
      <c r="O48" s="584">
        <v>0</v>
      </c>
      <c r="P48" s="584">
        <v>0</v>
      </c>
      <c r="Q48" s="215">
        <v>0</v>
      </c>
      <c r="R48" s="587">
        <v>0</v>
      </c>
      <c r="S48" s="584">
        <v>0</v>
      </c>
      <c r="T48" s="584">
        <v>0</v>
      </c>
      <c r="U48" s="584">
        <v>0</v>
      </c>
      <c r="V48" s="584">
        <v>0</v>
      </c>
    </row>
    <row r="49" spans="1:25" hidden="1" x14ac:dyDescent="0.35">
      <c r="A49" s="212" t="s">
        <v>194</v>
      </c>
      <c r="B49" s="176"/>
      <c r="C49" s="149">
        <f>+C31*C17</f>
        <v>587.59649999999999</v>
      </c>
      <c r="D49" s="149">
        <f>+D31*D17</f>
        <v>613.14750000000004</v>
      </c>
      <c r="E49" s="149">
        <f>+E31*E17</f>
        <v>0</v>
      </c>
      <c r="F49" s="204">
        <f>+F31*F17</f>
        <v>613.14750000000004</v>
      </c>
      <c r="G49" s="166"/>
      <c r="H49" s="204"/>
      <c r="I49" s="166"/>
      <c r="K49" s="166"/>
      <c r="L49" s="552"/>
      <c r="M49" s="575"/>
      <c r="N49" s="575"/>
      <c r="O49" s="575"/>
      <c r="P49" s="575"/>
      <c r="Q49" s="135"/>
      <c r="R49" s="552"/>
      <c r="S49" s="575"/>
      <c r="T49" s="575"/>
      <c r="U49" s="575"/>
      <c r="V49" s="575"/>
    </row>
    <row r="50" spans="1:25" hidden="1" x14ac:dyDescent="0.35">
      <c r="A50" s="146" t="s">
        <v>193</v>
      </c>
      <c r="B50" s="146"/>
      <c r="C50" s="147">
        <f t="shared" ref="C50:H50" si="24">SUM(C47:C49)</f>
        <v>79206.627291666679</v>
      </c>
      <c r="D50" s="147">
        <f t="shared" si="24"/>
        <v>79566.178291666685</v>
      </c>
      <c r="E50" s="147">
        <f t="shared" si="24"/>
        <v>82650.440499999997</v>
      </c>
      <c r="F50" s="148">
        <f t="shared" si="24"/>
        <v>82650.440500000012</v>
      </c>
      <c r="G50" s="166">
        <f t="shared" si="24"/>
        <v>78301.380499999999</v>
      </c>
      <c r="H50" s="148">
        <f t="shared" si="24"/>
        <v>78301.380499999999</v>
      </c>
      <c r="I50" s="166">
        <f t="shared" ref="I50:Q50" si="25">SUM(I47:I49)</f>
        <v>80745</v>
      </c>
      <c r="K50" s="166">
        <f>SUM(K47:K49)</f>
        <v>80210</v>
      </c>
      <c r="L50" s="552">
        <f t="shared" si="25"/>
        <v>81403</v>
      </c>
      <c r="M50" s="575">
        <f t="shared" si="25"/>
        <v>82286</v>
      </c>
      <c r="N50" s="575">
        <f t="shared" si="25"/>
        <v>81515</v>
      </c>
      <c r="O50" s="575">
        <f>SUM(O47:O49)</f>
        <v>80745</v>
      </c>
      <c r="P50" s="575">
        <f t="shared" si="25"/>
        <v>83942</v>
      </c>
      <c r="Q50" s="135">
        <f t="shared" si="25"/>
        <v>84504</v>
      </c>
      <c r="R50" s="552">
        <f>SUM(R47:R49)</f>
        <v>86713</v>
      </c>
      <c r="S50" s="575">
        <f>SUM(S47:S49)</f>
        <v>81814</v>
      </c>
      <c r="T50" s="575">
        <f>SUM(T47:T49)</f>
        <v>81012</v>
      </c>
      <c r="U50" s="575">
        <f>SUM(U47:U49)</f>
        <v>80210</v>
      </c>
      <c r="V50" s="575">
        <f>SUM(V47:V49)</f>
        <v>84504</v>
      </c>
    </row>
    <row r="51" spans="1:25" x14ac:dyDescent="0.35">
      <c r="A51" s="152" t="s">
        <v>192</v>
      </c>
      <c r="B51" s="152"/>
      <c r="C51" s="153">
        <f>+C50*C46</f>
        <v>3168.2650916666671</v>
      </c>
      <c r="D51" s="153">
        <f>+D50*D46+1</f>
        <v>3183.6471316666675</v>
      </c>
      <c r="E51" s="153">
        <f>+E50*E46+1</f>
        <v>3307.0176200000001</v>
      </c>
      <c r="F51" s="154">
        <f>+F50*F46+1</f>
        <v>3307.0176200000005</v>
      </c>
      <c r="G51" s="195">
        <f>ROUND(+G50*G46,0)</f>
        <v>2662</v>
      </c>
      <c r="H51" s="195">
        <f>ROUND(+H50*H46,0)</f>
        <v>2662</v>
      </c>
      <c r="I51" s="195">
        <f>ROUND(+I50*I46,0)</f>
        <v>2342</v>
      </c>
      <c r="K51" s="195">
        <f t="shared" ref="K51:V51" si="26">ROUND(+K50*K46,0)</f>
        <v>1765</v>
      </c>
      <c r="L51" s="563">
        <f t="shared" si="26"/>
        <v>1791</v>
      </c>
      <c r="M51" s="573">
        <f t="shared" si="26"/>
        <v>1810</v>
      </c>
      <c r="N51" s="573">
        <f t="shared" si="26"/>
        <v>1793</v>
      </c>
      <c r="O51" s="573">
        <f t="shared" si="26"/>
        <v>1776</v>
      </c>
      <c r="P51" s="573">
        <f t="shared" si="26"/>
        <v>1847</v>
      </c>
      <c r="Q51" s="142">
        <f t="shared" si="26"/>
        <v>1859</v>
      </c>
      <c r="R51" s="563">
        <f t="shared" si="26"/>
        <v>1908</v>
      </c>
      <c r="S51" s="573">
        <f t="shared" si="26"/>
        <v>1800</v>
      </c>
      <c r="T51" s="573">
        <f t="shared" si="26"/>
        <v>1782</v>
      </c>
      <c r="U51" s="573">
        <f t="shared" si="26"/>
        <v>1765</v>
      </c>
      <c r="V51" s="573">
        <f t="shared" si="26"/>
        <v>1859</v>
      </c>
    </row>
    <row r="52" spans="1:25" x14ac:dyDescent="0.35">
      <c r="D52" s="139"/>
      <c r="E52" s="139"/>
      <c r="G52" s="196"/>
      <c r="I52" s="196"/>
      <c r="K52" s="196"/>
    </row>
    <row r="53" spans="1:25" x14ac:dyDescent="0.35">
      <c r="A53" s="143" t="s">
        <v>102</v>
      </c>
      <c r="B53" s="144"/>
      <c r="C53" s="155"/>
      <c r="D53" s="155"/>
      <c r="E53" s="155"/>
      <c r="F53" s="156"/>
      <c r="G53" s="391"/>
      <c r="H53" s="155"/>
      <c r="I53" s="391"/>
      <c r="K53" s="391"/>
      <c r="L53" s="588"/>
      <c r="M53" s="588"/>
      <c r="N53" s="588"/>
      <c r="O53" s="588"/>
      <c r="P53" s="588"/>
      <c r="Q53" s="214"/>
      <c r="R53" s="588"/>
      <c r="S53" s="588"/>
      <c r="T53" s="588"/>
      <c r="U53" s="588"/>
      <c r="V53" s="588"/>
    </row>
    <row r="54" spans="1:25" x14ac:dyDescent="0.35">
      <c r="A54" s="146" t="s">
        <v>197</v>
      </c>
      <c r="B54" s="146"/>
      <c r="C54" s="150">
        <v>1500</v>
      </c>
      <c r="D54" s="150">
        <v>1500</v>
      </c>
      <c r="E54" s="150">
        <v>1500</v>
      </c>
      <c r="F54" s="151">
        <v>1500</v>
      </c>
      <c r="G54" s="392">
        <v>1500</v>
      </c>
      <c r="H54" s="150">
        <v>1500</v>
      </c>
      <c r="I54" s="392">
        <v>1500</v>
      </c>
      <c r="K54" s="392">
        <v>1500</v>
      </c>
      <c r="L54" s="587">
        <v>1500</v>
      </c>
      <c r="M54" s="587">
        <v>1500</v>
      </c>
      <c r="N54" s="587">
        <v>1500</v>
      </c>
      <c r="O54" s="587">
        <v>1500</v>
      </c>
      <c r="P54" s="587">
        <v>1500</v>
      </c>
      <c r="Q54" s="215">
        <v>1500</v>
      </c>
      <c r="R54" s="756">
        <f>+$Q54</f>
        <v>1500</v>
      </c>
      <c r="S54" s="756">
        <f t="shared" ref="S54:V55" si="27">+$Q54</f>
        <v>1500</v>
      </c>
      <c r="T54" s="756">
        <f t="shared" si="27"/>
        <v>1500</v>
      </c>
      <c r="U54" s="756">
        <f t="shared" si="27"/>
        <v>1500</v>
      </c>
      <c r="V54" s="756">
        <f t="shared" si="27"/>
        <v>1500</v>
      </c>
    </row>
    <row r="55" spans="1:25" x14ac:dyDescent="0.35">
      <c r="A55" s="146" t="s">
        <v>481</v>
      </c>
      <c r="B55" s="146"/>
      <c r="C55" s="150">
        <v>1000</v>
      </c>
      <c r="D55" s="150">
        <v>1000</v>
      </c>
      <c r="E55" s="150">
        <v>1000</v>
      </c>
      <c r="F55" s="151">
        <v>1000</v>
      </c>
      <c r="G55" s="392">
        <v>1000</v>
      </c>
      <c r="H55" s="150">
        <v>700</v>
      </c>
      <c r="I55" s="392">
        <v>1000</v>
      </c>
      <c r="K55" s="392">
        <v>1000</v>
      </c>
      <c r="L55" s="587">
        <v>1000</v>
      </c>
      <c r="M55" s="587">
        <v>1000</v>
      </c>
      <c r="N55" s="587">
        <v>1000</v>
      </c>
      <c r="O55" s="587">
        <v>1000</v>
      </c>
      <c r="P55" s="587">
        <v>1000</v>
      </c>
      <c r="Q55" s="215">
        <v>1300</v>
      </c>
      <c r="R55" s="756">
        <f>+$Q55</f>
        <v>1300</v>
      </c>
      <c r="S55" s="756">
        <f t="shared" si="27"/>
        <v>1300</v>
      </c>
      <c r="T55" s="756">
        <f t="shared" si="27"/>
        <v>1300</v>
      </c>
      <c r="U55" s="756">
        <f t="shared" si="27"/>
        <v>1300</v>
      </c>
      <c r="V55" s="756">
        <f t="shared" si="27"/>
        <v>1300</v>
      </c>
    </row>
    <row r="56" spans="1:25" x14ac:dyDescent="0.35">
      <c r="A56" s="146" t="s">
        <v>494</v>
      </c>
      <c r="B56" s="146"/>
      <c r="C56" s="150"/>
      <c r="D56" s="150"/>
      <c r="E56" s="150"/>
      <c r="F56" s="151"/>
      <c r="G56" s="392"/>
      <c r="H56" s="150"/>
      <c r="I56" s="392"/>
      <c r="K56" s="392"/>
      <c r="L56" s="587"/>
      <c r="M56" s="587"/>
      <c r="N56" s="587"/>
      <c r="O56" s="587"/>
      <c r="P56" s="587"/>
      <c r="Q56" s="215"/>
      <c r="R56" s="756"/>
      <c r="S56" s="756"/>
      <c r="T56" s="756"/>
      <c r="U56" s="756"/>
      <c r="V56" s="756"/>
    </row>
    <row r="57" spans="1:25" x14ac:dyDescent="0.35">
      <c r="A57" s="146" t="s">
        <v>102</v>
      </c>
      <c r="B57" s="146"/>
      <c r="C57" s="150">
        <v>600</v>
      </c>
      <c r="D57" s="150">
        <v>600</v>
      </c>
      <c r="E57" s="150">
        <v>600</v>
      </c>
      <c r="F57" s="151">
        <v>600</v>
      </c>
      <c r="G57" s="392">
        <v>600</v>
      </c>
      <c r="H57" s="150">
        <v>600</v>
      </c>
      <c r="I57" s="392">
        <v>600</v>
      </c>
      <c r="K57" s="392">
        <v>600</v>
      </c>
      <c r="L57" s="587">
        <v>600</v>
      </c>
      <c r="M57" s="587">
        <v>600</v>
      </c>
      <c r="N57" s="587">
        <v>600</v>
      </c>
      <c r="O57" s="587">
        <v>600</v>
      </c>
      <c r="P57" s="587">
        <v>600</v>
      </c>
      <c r="Q57" s="215">
        <v>600</v>
      </c>
      <c r="R57" s="756">
        <f>+$Q57</f>
        <v>600</v>
      </c>
      <c r="S57" s="756">
        <f t="shared" ref="S57:V58" si="28">+$Q57</f>
        <v>600</v>
      </c>
      <c r="T57" s="756">
        <f t="shared" si="28"/>
        <v>600</v>
      </c>
      <c r="U57" s="756">
        <f t="shared" si="28"/>
        <v>600</v>
      </c>
      <c r="V57" s="756">
        <f t="shared" si="28"/>
        <v>600</v>
      </c>
    </row>
    <row r="58" spans="1:25" x14ac:dyDescent="0.35">
      <c r="A58" s="176" t="s">
        <v>209</v>
      </c>
      <c r="B58" s="176"/>
      <c r="C58" s="177"/>
      <c r="D58" s="177"/>
      <c r="E58" s="177"/>
      <c r="F58" s="178"/>
      <c r="G58" s="392">
        <f>40*12</f>
        <v>480</v>
      </c>
      <c r="H58" s="612">
        <f>25*12</f>
        <v>300</v>
      </c>
      <c r="I58" s="392">
        <f>ROUND(40*12,0)</f>
        <v>480</v>
      </c>
      <c r="K58" s="392">
        <f t="shared" ref="K58:Q58" si="29">ROUND(40*12,0)</f>
        <v>480</v>
      </c>
      <c r="L58" s="587">
        <f t="shared" si="29"/>
        <v>480</v>
      </c>
      <c r="M58" s="587">
        <f t="shared" si="29"/>
        <v>480</v>
      </c>
      <c r="N58" s="587">
        <f t="shared" si="29"/>
        <v>480</v>
      </c>
      <c r="O58" s="587">
        <f t="shared" si="29"/>
        <v>480</v>
      </c>
      <c r="P58" s="587">
        <f t="shared" si="29"/>
        <v>480</v>
      </c>
      <c r="Q58" s="215">
        <f t="shared" si="29"/>
        <v>480</v>
      </c>
      <c r="R58" s="756">
        <f>+$Q58</f>
        <v>480</v>
      </c>
      <c r="S58" s="756">
        <f t="shared" si="28"/>
        <v>480</v>
      </c>
      <c r="T58" s="756">
        <f t="shared" si="28"/>
        <v>480</v>
      </c>
      <c r="U58" s="756">
        <f t="shared" si="28"/>
        <v>480</v>
      </c>
      <c r="V58" s="756">
        <f t="shared" si="28"/>
        <v>480</v>
      </c>
    </row>
    <row r="59" spans="1:25" x14ac:dyDescent="0.35">
      <c r="A59" s="157" t="s">
        <v>199</v>
      </c>
      <c r="B59" s="157"/>
      <c r="C59" s="158">
        <f t="shared" ref="C59:H59" si="30">+SUM(C54:C58)</f>
        <v>3100</v>
      </c>
      <c r="D59" s="158">
        <f t="shared" si="30"/>
        <v>3100</v>
      </c>
      <c r="E59" s="158">
        <f t="shared" si="30"/>
        <v>3100</v>
      </c>
      <c r="F59" s="159">
        <f t="shared" si="30"/>
        <v>3100</v>
      </c>
      <c r="G59" s="393">
        <f t="shared" si="30"/>
        <v>3580</v>
      </c>
      <c r="H59" s="158">
        <f t="shared" si="30"/>
        <v>3100</v>
      </c>
      <c r="I59" s="393">
        <f t="shared" ref="I59:P59" si="31">+SUM(I54:I58)</f>
        <v>3580</v>
      </c>
      <c r="K59" s="393">
        <f>+SUM(K54:K58)</f>
        <v>3580</v>
      </c>
      <c r="L59" s="589">
        <f t="shared" si="31"/>
        <v>3580</v>
      </c>
      <c r="M59" s="589">
        <f t="shared" si="31"/>
        <v>3580</v>
      </c>
      <c r="N59" s="589">
        <f t="shared" si="31"/>
        <v>3580</v>
      </c>
      <c r="O59" s="589">
        <f>+SUM(O54:O58)</f>
        <v>3580</v>
      </c>
      <c r="P59" s="589">
        <f t="shared" si="31"/>
        <v>3580</v>
      </c>
      <c r="Q59" s="216">
        <f t="shared" ref="Q59:V59" si="32">+SUM(Q54:Q58)</f>
        <v>3880</v>
      </c>
      <c r="R59" s="589">
        <f t="shared" si="32"/>
        <v>3880</v>
      </c>
      <c r="S59" s="589">
        <f t="shared" si="32"/>
        <v>3880</v>
      </c>
      <c r="T59" s="589">
        <f t="shared" si="32"/>
        <v>3880</v>
      </c>
      <c r="U59" s="589">
        <f t="shared" si="32"/>
        <v>3880</v>
      </c>
      <c r="V59" s="589">
        <f t="shared" si="32"/>
        <v>3880</v>
      </c>
    </row>
    <row r="60" spans="1:25" ht="7.5" customHeight="1" thickBot="1" x14ac:dyDescent="0.4">
      <c r="G60" s="196"/>
      <c r="I60" s="177"/>
      <c r="K60" s="196"/>
    </row>
    <row r="61" spans="1:25" ht="15.5" thickTop="1" thickBot="1" x14ac:dyDescent="0.4">
      <c r="A61" s="469" t="s">
        <v>198</v>
      </c>
      <c r="B61" s="780"/>
      <c r="C61" s="781">
        <f t="shared" ref="C61:I61" si="33">+C19+C37+C51+C59</f>
        <v>92690.479270416676</v>
      </c>
      <c r="D61" s="781">
        <f t="shared" si="33"/>
        <v>93988.957535416688</v>
      </c>
      <c r="E61" s="781">
        <f t="shared" si="33"/>
        <v>98149.006574999992</v>
      </c>
      <c r="F61" s="782">
        <f t="shared" si="33"/>
        <v>96586.762849999999</v>
      </c>
      <c r="G61" s="783">
        <f t="shared" si="33"/>
        <v>100653.3805</v>
      </c>
      <c r="H61" s="781">
        <f t="shared" si="33"/>
        <v>97766.380499999999</v>
      </c>
      <c r="I61" s="783">
        <f t="shared" si="33"/>
        <v>100670</v>
      </c>
      <c r="J61" s="784"/>
      <c r="K61" s="783">
        <f t="shared" ref="K61:P61" si="34">+K19+K37+K51+K59</f>
        <v>102099</v>
      </c>
      <c r="L61" s="785">
        <f>+L19+L37+L51+L59</f>
        <v>103449</v>
      </c>
      <c r="M61" s="785">
        <f t="shared" si="34"/>
        <v>101848</v>
      </c>
      <c r="N61" s="785">
        <f t="shared" si="34"/>
        <v>100976</v>
      </c>
      <c r="O61" s="785">
        <f t="shared" si="34"/>
        <v>100104</v>
      </c>
      <c r="P61" s="785">
        <f t="shared" si="34"/>
        <v>103724</v>
      </c>
      <c r="Q61" s="786">
        <f t="shared" ref="Q61:V61" si="35">+Q19+Q40+Q51+Q59</f>
        <v>109256</v>
      </c>
      <c r="R61" s="779">
        <f t="shared" si="35"/>
        <v>112011</v>
      </c>
      <c r="S61" s="590">
        <f t="shared" si="35"/>
        <v>106311</v>
      </c>
      <c r="T61" s="590">
        <f t="shared" si="35"/>
        <v>105307</v>
      </c>
      <c r="U61" s="590">
        <f t="shared" si="35"/>
        <v>102298</v>
      </c>
      <c r="V61" s="590">
        <f t="shared" si="35"/>
        <v>109256</v>
      </c>
      <c r="Y61" s="778"/>
    </row>
    <row r="62" spans="1:25" ht="15" thickTop="1" x14ac:dyDescent="0.35">
      <c r="A62" s="219" t="s">
        <v>264</v>
      </c>
      <c r="B62" s="219"/>
      <c r="C62" s="207"/>
      <c r="D62" s="207"/>
      <c r="E62" s="207"/>
      <c r="F62" s="207"/>
      <c r="G62" s="207"/>
      <c r="H62" s="207"/>
      <c r="I62" s="207">
        <f>+I61-G61</f>
        <v>16.619500000000698</v>
      </c>
      <c r="K62" s="207">
        <f>+K61-I61</f>
        <v>1429</v>
      </c>
      <c r="L62" s="207">
        <f>+L61-K61</f>
        <v>1350</v>
      </c>
      <c r="M62" s="207">
        <f>+M61-O61</f>
        <v>1744</v>
      </c>
      <c r="N62" s="207">
        <f>+N61-O61</f>
        <v>872</v>
      </c>
      <c r="O62" s="207"/>
      <c r="P62" s="207">
        <f>+P61-O61</f>
        <v>3620</v>
      </c>
      <c r="Q62" s="207">
        <f t="shared" ref="Q62:V62" si="36">+Q61-$K61</f>
        <v>7157</v>
      </c>
      <c r="R62" s="207">
        <f t="shared" si="36"/>
        <v>9912</v>
      </c>
      <c r="S62" s="207">
        <f t="shared" si="36"/>
        <v>4212</v>
      </c>
      <c r="T62" s="207">
        <f t="shared" si="36"/>
        <v>3208</v>
      </c>
      <c r="U62" s="207">
        <f t="shared" si="36"/>
        <v>199</v>
      </c>
      <c r="V62" s="207">
        <f t="shared" si="36"/>
        <v>7157</v>
      </c>
    </row>
    <row r="63" spans="1:25" x14ac:dyDescent="0.35">
      <c r="A63" s="219"/>
      <c r="B63" s="219"/>
      <c r="C63" s="207"/>
      <c r="D63" s="207"/>
      <c r="E63" s="207"/>
      <c r="F63" s="207"/>
      <c r="G63" s="207"/>
      <c r="H63" s="207"/>
      <c r="I63" s="385">
        <f>+I62/G61</f>
        <v>1.6511616318739237E-4</v>
      </c>
      <c r="J63" s="45"/>
      <c r="K63" s="592">
        <f>+K62/I61</f>
        <v>1.4194894208801033E-2</v>
      </c>
      <c r="L63" s="592">
        <f>+L62/O61</f>
        <v>1.3485974586430112E-2</v>
      </c>
      <c r="M63" s="592">
        <f>+M62/O61</f>
        <v>1.7421881243506753E-2</v>
      </c>
      <c r="N63" s="592">
        <f>+N62/O61</f>
        <v>8.7109406217533766E-3</v>
      </c>
      <c r="O63" s="385"/>
      <c r="P63" s="592">
        <f>+P62/O61</f>
        <v>3.616239111324223E-2</v>
      </c>
      <c r="Q63" s="592">
        <f t="shared" ref="Q63:V63" si="37">+Q62/$K61</f>
        <v>7.0098629761310108E-2</v>
      </c>
      <c r="R63" s="592">
        <f t="shared" si="37"/>
        <v>9.7082243704639609E-2</v>
      </c>
      <c r="S63" s="592">
        <f t="shared" si="37"/>
        <v>4.1254076925337176E-2</v>
      </c>
      <c r="T63" s="592">
        <f t="shared" si="37"/>
        <v>3.142048404000039E-2</v>
      </c>
      <c r="U63" s="592">
        <f t="shared" si="37"/>
        <v>1.949088629663366E-3</v>
      </c>
      <c r="V63" s="592">
        <f t="shared" si="37"/>
        <v>7.0098629761310108E-2</v>
      </c>
    </row>
    <row r="64" spans="1:25" hidden="1" x14ac:dyDescent="0.35">
      <c r="A64" s="294"/>
      <c r="B64" s="294"/>
      <c r="C64" s="294" t="s">
        <v>201</v>
      </c>
      <c r="D64" s="294"/>
      <c r="E64" s="294"/>
      <c r="F64" s="294"/>
      <c r="G64" s="294"/>
      <c r="H64" s="384"/>
    </row>
    <row r="65" spans="1:22" hidden="1" x14ac:dyDescent="0.35">
      <c r="A65" s="819" t="s">
        <v>202</v>
      </c>
      <c r="B65" s="218"/>
      <c r="C65" s="141">
        <f>+C61-C18</f>
        <v>87649.365145416668</v>
      </c>
      <c r="D65" s="141">
        <f>+D61-D18</f>
        <v>88947.843410416681</v>
      </c>
      <c r="E65" s="141">
        <f>+E61-E18</f>
        <v>92275.566074999995</v>
      </c>
      <c r="F65" s="141">
        <f>+F61-F18</f>
        <v>91326.469849999994</v>
      </c>
      <c r="G65" s="294"/>
      <c r="H65" s="384"/>
    </row>
    <row r="66" spans="1:22" x14ac:dyDescent="0.35">
      <c r="A66" s="294"/>
      <c r="G66" s="217"/>
      <c r="I66" s="217"/>
      <c r="K66" s="217"/>
      <c r="L66" s="217"/>
      <c r="M66" s="217"/>
      <c r="N66" s="217"/>
      <c r="O66" s="217"/>
      <c r="P66" s="217"/>
      <c r="Q66" s="217"/>
      <c r="R66" s="217"/>
      <c r="S66" s="217"/>
      <c r="T66" s="217"/>
      <c r="U66" s="217"/>
      <c r="V66" s="217"/>
    </row>
    <row r="67" spans="1:22" ht="18.5" x14ac:dyDescent="0.35">
      <c r="A67" s="820" t="s">
        <v>496</v>
      </c>
    </row>
    <row r="68" spans="1:22" ht="32" customHeight="1" thickBot="1" x14ac:dyDescent="0.4">
      <c r="A68" s="802"/>
      <c r="Q68" s="802"/>
    </row>
    <row r="69" spans="1:22" x14ac:dyDescent="0.35">
      <c r="A69" s="800" t="s">
        <v>498</v>
      </c>
      <c r="Q69" s="803" t="s">
        <v>497</v>
      </c>
    </row>
    <row r="71" spans="1:22" ht="32" customHeight="1" thickBot="1" x14ac:dyDescent="0.4">
      <c r="A71" s="802"/>
      <c r="Q71" s="802"/>
    </row>
    <row r="72" spans="1:22" x14ac:dyDescent="0.35">
      <c r="A72" s="800" t="s">
        <v>499</v>
      </c>
      <c r="Q72" s="803" t="s">
        <v>497</v>
      </c>
    </row>
    <row r="74" spans="1:22" ht="32" customHeight="1" thickBot="1" x14ac:dyDescent="0.4">
      <c r="A74" s="802"/>
      <c r="Q74" s="802"/>
    </row>
    <row r="75" spans="1:22" x14ac:dyDescent="0.35">
      <c r="A75" s="800" t="s">
        <v>500</v>
      </c>
      <c r="Q75" s="803" t="s">
        <v>497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094" t="s">
        <v>210</v>
      </c>
    </row>
    <row r="2" spans="1:12" x14ac:dyDescent="0.35">
      <c r="B2" s="1090">
        <v>43160</v>
      </c>
      <c r="C2">
        <v>2023</v>
      </c>
      <c r="D2" t="s">
        <v>589</v>
      </c>
    </row>
    <row r="3" spans="1:12" x14ac:dyDescent="0.35">
      <c r="B3" s="1090">
        <v>41454</v>
      </c>
      <c r="C3">
        <v>2022</v>
      </c>
      <c r="D3" t="s">
        <v>589</v>
      </c>
    </row>
    <row r="4" spans="1:12" x14ac:dyDescent="0.35">
      <c r="A4" t="s">
        <v>657</v>
      </c>
    </row>
    <row r="6" spans="1:12" x14ac:dyDescent="0.35">
      <c r="B6" s="1396"/>
      <c r="C6" s="1396"/>
      <c r="D6" s="1396"/>
      <c r="F6" s="1396"/>
      <c r="G6" s="1396"/>
      <c r="H6" s="1396"/>
    </row>
    <row r="7" spans="1:12" ht="58" x14ac:dyDescent="0.35">
      <c r="B7" s="1084" t="s">
        <v>660</v>
      </c>
      <c r="C7" s="1084" t="s">
        <v>661</v>
      </c>
      <c r="D7" s="1085" t="s">
        <v>242</v>
      </c>
      <c r="E7" s="1397" t="s">
        <v>659</v>
      </c>
      <c r="F7" s="1397"/>
    </row>
    <row r="8" spans="1:12" x14ac:dyDescent="0.35">
      <c r="B8" s="1088">
        <v>0.4</v>
      </c>
      <c r="C8" s="1089">
        <v>0.6</v>
      </c>
      <c r="E8" s="1099" t="s">
        <v>107</v>
      </c>
      <c r="F8" s="1099" t="s">
        <v>108</v>
      </c>
    </row>
    <row r="9" spans="1:12" x14ac:dyDescent="0.35">
      <c r="A9" s="1086">
        <v>0.1</v>
      </c>
      <c r="B9" s="1090">
        <v>55081</v>
      </c>
      <c r="C9" s="1090">
        <v>37639</v>
      </c>
      <c r="D9" s="668">
        <f>(+B9*B$8)+(C9*C$8)</f>
        <v>44615.8</v>
      </c>
      <c r="E9" s="679">
        <f>+D9-B$3</f>
        <v>3161.8000000000029</v>
      </c>
      <c r="F9" s="1091">
        <f>+E9/B$3</f>
        <v>7.6272494813528324E-2</v>
      </c>
    </row>
    <row r="10" spans="1:12" x14ac:dyDescent="0.35">
      <c r="A10" s="1086">
        <v>0.25</v>
      </c>
      <c r="B10" s="1090">
        <v>60846</v>
      </c>
      <c r="C10" s="1090">
        <v>42100</v>
      </c>
      <c r="D10" s="668">
        <f>(+B10*B$8)+(C10*C$8)</f>
        <v>49598.400000000001</v>
      </c>
      <c r="E10" s="679">
        <f>+D10-B$3</f>
        <v>8144.4000000000015</v>
      </c>
      <c r="F10" s="1091">
        <f>+E10/B$3</f>
        <v>0.19646837458387614</v>
      </c>
    </row>
    <row r="11" spans="1:12" x14ac:dyDescent="0.35">
      <c r="A11" s="1087" t="s">
        <v>658</v>
      </c>
      <c r="B11" s="1090">
        <v>67178</v>
      </c>
      <c r="C11" s="1090">
        <v>47000</v>
      </c>
      <c r="D11" s="668">
        <f>(+B11*B$8)+(C11*C$8)</f>
        <v>55071.199999999997</v>
      </c>
      <c r="E11" s="1092">
        <f>+D11-B$3</f>
        <v>13617.199999999997</v>
      </c>
      <c r="F11" s="1093">
        <f>+E11/B$3</f>
        <v>0.32848940994837644</v>
      </c>
    </row>
    <row r="12" spans="1:12" x14ac:dyDescent="0.35">
      <c r="A12" s="1086">
        <v>0.75</v>
      </c>
      <c r="B12" s="1090">
        <v>74329</v>
      </c>
      <c r="C12" s="1090">
        <v>53000</v>
      </c>
      <c r="D12" s="668">
        <f>(+B12*B$8)+(C12*C$8)</f>
        <v>61531.600000000006</v>
      </c>
      <c r="E12" s="679">
        <f>+D12-B$3</f>
        <v>20077.600000000006</v>
      </c>
      <c r="F12" s="1091">
        <f>+E12/B$3</f>
        <v>0.48433444299705714</v>
      </c>
      <c r="L12" s="1095"/>
    </row>
    <row r="13" spans="1:12" x14ac:dyDescent="0.35">
      <c r="A13" s="1086">
        <v>0.9</v>
      </c>
      <c r="B13" s="1090">
        <v>80840</v>
      </c>
      <c r="C13" s="1090">
        <v>58463</v>
      </c>
      <c r="D13" s="668">
        <f>(+B13*B$8)+(C13*C$8)</f>
        <v>67413.799999999988</v>
      </c>
      <c r="E13" s="679">
        <f>+D13-B$3</f>
        <v>25959.799999999988</v>
      </c>
      <c r="F13" s="1091">
        <f>+E13/B$3</f>
        <v>0.62623148550200192</v>
      </c>
    </row>
    <row r="17" spans="1:6" x14ac:dyDescent="0.35">
      <c r="A17" t="s">
        <v>662</v>
      </c>
    </row>
    <row r="18" spans="1:6" ht="43.5" x14ac:dyDescent="0.35">
      <c r="B18" s="1084" t="s">
        <v>663</v>
      </c>
      <c r="C18" s="1084" t="s">
        <v>664</v>
      </c>
      <c r="D18" s="1085" t="s">
        <v>242</v>
      </c>
      <c r="E18" s="1397"/>
      <c r="F18" s="1397"/>
    </row>
    <row r="19" spans="1:6" x14ac:dyDescent="0.35">
      <c r="B19" s="1088">
        <v>0.6</v>
      </c>
      <c r="C19" s="1089">
        <v>0.4</v>
      </c>
      <c r="E19" s="1099"/>
      <c r="F19" s="1099"/>
    </row>
    <row r="20" spans="1:6" x14ac:dyDescent="0.35">
      <c r="A20" s="1086">
        <v>0.1</v>
      </c>
      <c r="B20" s="1090">
        <v>41284</v>
      </c>
      <c r="C20" s="1090">
        <v>28321</v>
      </c>
      <c r="D20" s="668">
        <f>(+B20*B$8)+(C20*C$8)</f>
        <v>33506.199999999997</v>
      </c>
      <c r="E20" s="679"/>
      <c r="F20" s="1091"/>
    </row>
    <row r="21" spans="1:6" x14ac:dyDescent="0.35">
      <c r="A21" s="1086">
        <v>0.25</v>
      </c>
      <c r="B21" s="1090">
        <v>53302</v>
      </c>
      <c r="C21" s="1090">
        <v>35276</v>
      </c>
      <c r="D21" s="668">
        <f>(+B21*B$8)+(C21*C$8)</f>
        <v>42486.400000000001</v>
      </c>
      <c r="E21" s="679"/>
      <c r="F21" s="1091"/>
    </row>
    <row r="22" spans="1:6" x14ac:dyDescent="0.35">
      <c r="A22" s="1087" t="s">
        <v>658</v>
      </c>
      <c r="B22" s="1090">
        <v>66502</v>
      </c>
      <c r="C22" s="1090">
        <v>42915</v>
      </c>
      <c r="D22" s="668">
        <f>(+B22*B$8)+(C22*C$8)</f>
        <v>52349.8</v>
      </c>
      <c r="E22" s="1092"/>
      <c r="F22" s="1093"/>
    </row>
    <row r="23" spans="1:6" x14ac:dyDescent="0.35">
      <c r="A23" s="1086">
        <v>0.75</v>
      </c>
      <c r="B23" s="1090">
        <v>81702</v>
      </c>
      <c r="C23" s="1090">
        <v>53123</v>
      </c>
      <c r="D23" s="668">
        <f>(+B23*B$8)+(C23*C$8)</f>
        <v>64554.600000000006</v>
      </c>
      <c r="E23" s="679"/>
      <c r="F23" s="1091"/>
    </row>
    <row r="24" spans="1:6" x14ac:dyDescent="0.35">
      <c r="A24" s="1086">
        <v>0.9</v>
      </c>
      <c r="B24" s="1090">
        <v>95541</v>
      </c>
      <c r="C24" s="1090">
        <v>62417</v>
      </c>
      <c r="D24" s="668">
        <f>(+B24*B$8)+(C24*C$8)</f>
        <v>75666.600000000006</v>
      </c>
      <c r="E24" s="679"/>
      <c r="F24" s="1091"/>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87" t="s">
        <v>375</v>
      </c>
      <c r="B2" s="1187"/>
      <c r="C2" s="1187"/>
      <c r="D2" s="1187"/>
      <c r="E2" s="1187"/>
      <c r="F2" s="1187"/>
      <c r="G2" s="1187"/>
      <c r="H2" s="666"/>
    </row>
    <row r="3" spans="1:12" ht="15" thickBot="1" x14ac:dyDescent="0.4"/>
    <row r="4" spans="1:12" ht="44.5" thickTop="1" thickBot="1" x14ac:dyDescent="0.4">
      <c r="B4" s="685" t="s">
        <v>667</v>
      </c>
      <c r="C4" s="686" t="s">
        <v>668</v>
      </c>
      <c r="D4" s="686" t="s">
        <v>423</v>
      </c>
      <c r="E4" s="687" t="s">
        <v>524</v>
      </c>
    </row>
    <row r="5" spans="1:12" ht="15" thickTop="1" x14ac:dyDescent="0.35">
      <c r="A5" s="684" t="s">
        <v>377</v>
      </c>
      <c r="B5" s="670">
        <f>ROUND(+'New Year-Full Year'!P17,0)</f>
        <v>416000</v>
      </c>
      <c r="C5" s="670">
        <f>ROUND(+'New Year-Full Year'!U17,0)</f>
        <v>324162</v>
      </c>
      <c r="D5" s="670">
        <f>ROUND(+'New Year-Full Year'!Q17,0)</f>
        <v>416000</v>
      </c>
      <c r="E5" s="671">
        <v>524505</v>
      </c>
      <c r="K5" s="668"/>
    </row>
    <row r="6" spans="1:12" x14ac:dyDescent="0.35">
      <c r="A6" s="672"/>
      <c r="B6" s="667"/>
      <c r="C6" s="667"/>
      <c r="D6" s="667"/>
      <c r="E6" s="1100"/>
      <c r="J6" s="668"/>
    </row>
    <row r="7" spans="1:12" x14ac:dyDescent="0.35">
      <c r="A7" s="669" t="s">
        <v>378</v>
      </c>
      <c r="B7" s="667"/>
      <c r="C7" s="667"/>
      <c r="D7" s="667"/>
      <c r="E7" s="1100"/>
    </row>
    <row r="8" spans="1:12" x14ac:dyDescent="0.35">
      <c r="A8" s="672" t="s">
        <v>380</v>
      </c>
      <c r="B8" s="674">
        <f>ROUND(+'New Year-Full Year'!P29,0)</f>
        <v>24900</v>
      </c>
      <c r="C8" s="674">
        <f>ROUND(+'New Year-Full Year'!U29,0)</f>
        <v>18675</v>
      </c>
      <c r="D8" s="674">
        <f>ROUND(+'New Year-Full Year'!Q29,0)</f>
        <v>24900</v>
      </c>
      <c r="E8" s="675">
        <v>41778</v>
      </c>
      <c r="J8" s="544"/>
      <c r="K8" s="1083"/>
      <c r="L8" s="544"/>
    </row>
    <row r="9" spans="1:12" x14ac:dyDescent="0.35">
      <c r="A9" s="672" t="s">
        <v>381</v>
      </c>
      <c r="B9" s="674">
        <f>ROUND(+'New Year-Full Year'!P69,0)</f>
        <v>39428</v>
      </c>
      <c r="C9" s="674">
        <f>ROUND(+'New Year-Full Year'!U69,0)</f>
        <v>18385</v>
      </c>
      <c r="D9" s="674">
        <f>ROUND(+'New Year-Full Year'!Q69,0)</f>
        <v>31334</v>
      </c>
      <c r="E9" s="675">
        <v>28015</v>
      </c>
    </row>
    <row r="10" spans="1:12" x14ac:dyDescent="0.35">
      <c r="A10" s="672" t="s">
        <v>382</v>
      </c>
      <c r="B10" s="674">
        <f>ROUND(+'New Year-Full Year'!P122,0)</f>
        <v>274766</v>
      </c>
      <c r="C10" s="674">
        <f>ROUND(+'New Year-Full Year'!U122,0)</f>
        <v>145205</v>
      </c>
      <c r="D10" s="674">
        <f>ROUND(+'New Year-Full Year'!Q122,0)</f>
        <v>284616</v>
      </c>
      <c r="E10" s="675">
        <v>287964</v>
      </c>
    </row>
    <row r="11" spans="1:12" ht="16" x14ac:dyDescent="0.5">
      <c r="A11" s="672" t="s">
        <v>383</v>
      </c>
      <c r="B11" s="676">
        <f>ROUND(+'New Year-Full Year'!P140,0)</f>
        <v>76907</v>
      </c>
      <c r="C11" s="676">
        <f>ROUND(+'New Year-Full Year'!U140,0)</f>
        <v>55365</v>
      </c>
      <c r="D11" s="676">
        <f>ROUND(+'New Year-Full Year'!Q140,0)</f>
        <v>75150</v>
      </c>
      <c r="E11" s="677">
        <v>60548</v>
      </c>
    </row>
    <row r="12" spans="1:12" x14ac:dyDescent="0.35">
      <c r="A12" s="669" t="s">
        <v>379</v>
      </c>
      <c r="B12" s="670">
        <f>SUM(B8:B11)</f>
        <v>416001</v>
      </c>
      <c r="C12" s="670">
        <f>SUM(C8:C11)</f>
        <v>237630</v>
      </c>
      <c r="D12" s="670">
        <f>SUM(D8:D11)</f>
        <v>416000</v>
      </c>
      <c r="E12" s="678">
        <f>SUM(E8:E11)</f>
        <v>418305</v>
      </c>
    </row>
    <row r="13" spans="1:12" x14ac:dyDescent="0.35">
      <c r="A13" s="672"/>
      <c r="B13" s="667"/>
      <c r="C13" s="667"/>
      <c r="D13" s="667"/>
      <c r="E13" s="673"/>
    </row>
    <row r="14" spans="1:12" x14ac:dyDescent="0.35">
      <c r="A14" s="669" t="s">
        <v>376</v>
      </c>
      <c r="B14" s="670">
        <f>+B5-B12</f>
        <v>-1</v>
      </c>
      <c r="C14" s="670">
        <f>+C5-C12</f>
        <v>86532</v>
      </c>
      <c r="D14" s="670">
        <f>+D5-D12</f>
        <v>0</v>
      </c>
      <c r="E14" s="678">
        <f>+E5-E12</f>
        <v>106200</v>
      </c>
      <c r="G14" s="1186"/>
    </row>
    <row r="15" spans="1:12" x14ac:dyDescent="0.35">
      <c r="A15" s="672"/>
      <c r="B15" s="667"/>
      <c r="C15" s="667"/>
      <c r="D15" s="667"/>
      <c r="E15" s="673"/>
      <c r="G15" s="1186"/>
      <c r="H15" s="667"/>
    </row>
    <row r="16" spans="1:12" x14ac:dyDescent="0.35">
      <c r="A16" s="669" t="s">
        <v>384</v>
      </c>
      <c r="B16" s="667"/>
      <c r="C16" s="667"/>
      <c r="D16" s="667"/>
      <c r="E16" s="673"/>
      <c r="G16" s="1186"/>
      <c r="H16" s="667"/>
    </row>
    <row r="17" spans="1:8" x14ac:dyDescent="0.35">
      <c r="A17" s="672" t="s">
        <v>673</v>
      </c>
      <c r="B17" s="674">
        <f>ROUND(+'New Year-Full Year'!P142,0)</f>
        <v>0</v>
      </c>
      <c r="C17" s="674">
        <f>ROUND(+'New Year-Full Year'!U142,0)</f>
        <v>0</v>
      </c>
      <c r="D17" s="674">
        <f>ROUND(+'New Year-Full Year'!Q142,0)</f>
        <v>0</v>
      </c>
      <c r="E17" s="675">
        <v>0</v>
      </c>
      <c r="G17" s="39"/>
      <c r="H17" s="667"/>
    </row>
    <row r="18" spans="1:8" x14ac:dyDescent="0.35">
      <c r="A18" s="672" t="s">
        <v>385</v>
      </c>
      <c r="B18" s="674">
        <f>ROUND(+'New Year-Full Year'!P143,0)</f>
        <v>0</v>
      </c>
      <c r="C18" s="674">
        <f>ROUND(+'New Year-Full Year'!U143,0)</f>
        <v>0</v>
      </c>
      <c r="D18" s="674">
        <f>ROUND(+'New Year-Full Year'!Q143,0)</f>
        <v>0</v>
      </c>
      <c r="E18" s="675">
        <v>53100</v>
      </c>
      <c r="G18" s="1102"/>
      <c r="H18" s="667"/>
    </row>
    <row r="19" spans="1:8" x14ac:dyDescent="0.35">
      <c r="A19" s="672" t="s">
        <v>386</v>
      </c>
      <c r="B19" s="674">
        <f>ROUND(+'New Year-Full Year'!P145,0)</f>
        <v>0</v>
      </c>
      <c r="C19" s="674">
        <f>ROUND(+'New Year-Full Year'!U145,0)</f>
        <v>0</v>
      </c>
      <c r="D19" s="674">
        <f>ROUND(+'New Year-Full Year'!Q145,0)</f>
        <v>0</v>
      </c>
      <c r="E19" s="675">
        <v>25000</v>
      </c>
      <c r="G19" s="1102"/>
      <c r="H19" s="667"/>
    </row>
    <row r="20" spans="1:8" x14ac:dyDescent="0.35">
      <c r="A20" s="672" t="s">
        <v>387</v>
      </c>
      <c r="B20" s="674">
        <f>ROUND(+'New Year-Full Year'!P146,0)</f>
        <v>0</v>
      </c>
      <c r="C20" s="674">
        <f>ROUND(+'New Year-Full Year'!U146,0)</f>
        <v>0</v>
      </c>
      <c r="D20" s="674">
        <f>ROUND(+'New Year-Full Year'!Q146,0)</f>
        <v>0</v>
      </c>
      <c r="E20" s="675">
        <v>0</v>
      </c>
      <c r="G20" s="1102"/>
      <c r="H20" s="667"/>
    </row>
    <row r="21" spans="1:8" ht="16" x14ac:dyDescent="0.5">
      <c r="A21" s="672" t="s">
        <v>388</v>
      </c>
      <c r="B21" s="676">
        <f>ROUND(+'New Year-Full Year'!P147,0)</f>
        <v>0</v>
      </c>
      <c r="C21" s="676">
        <f>ROUND(+'New Year-Full Year'!U147,0)</f>
        <v>0</v>
      </c>
      <c r="D21" s="676">
        <f>ROUND(+'New Year-Full Year'!Q147,0)</f>
        <v>0</v>
      </c>
      <c r="E21" s="677">
        <v>28100</v>
      </c>
      <c r="G21" s="1103"/>
      <c r="H21" s="667"/>
    </row>
    <row r="22" spans="1:8" x14ac:dyDescent="0.35">
      <c r="A22" s="669" t="s">
        <v>76</v>
      </c>
      <c r="B22" s="679">
        <f>SUM(B17:B21)</f>
        <v>0</v>
      </c>
      <c r="C22" s="679">
        <f>SUM(C17:C21)</f>
        <v>0</v>
      </c>
      <c r="D22" s="679">
        <f>SUM(D17:D21)</f>
        <v>0</v>
      </c>
      <c r="E22" s="680">
        <f>SUM(E17:E21)</f>
        <v>106200</v>
      </c>
      <c r="F22" s="668"/>
      <c r="G22" s="1104"/>
      <c r="H22" s="667"/>
    </row>
    <row r="23" spans="1:8" x14ac:dyDescent="0.35">
      <c r="A23" s="672"/>
      <c r="B23" s="688"/>
      <c r="C23" s="688"/>
      <c r="D23" s="688"/>
      <c r="E23" s="689"/>
    </row>
    <row r="24" spans="1:8" ht="15" thickBot="1" x14ac:dyDescent="0.4">
      <c r="A24" s="681" t="s">
        <v>389</v>
      </c>
      <c r="B24" s="746">
        <f>ROUND(+B14-B22,0)</f>
        <v>-1</v>
      </c>
      <c r="C24" s="746">
        <f>ROUND(+C14-C22,0)</f>
        <v>86532</v>
      </c>
      <c r="D24" s="682">
        <f>+D14-D22</f>
        <v>0</v>
      </c>
      <c r="E24" s="683">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N207"/>
  <sheetViews>
    <sheetView showGridLines="0" topLeftCell="B3" workbookViewId="0">
      <pane xSplit="14" ySplit="2" topLeftCell="P5" activePane="bottomRight" state="frozen"/>
      <selection activeCell="I112" sqref="I112"/>
      <selection pane="topRight" activeCell="I112" sqref="I112"/>
      <selection pane="bottomLeft" activeCell="I112" sqref="I112"/>
      <selection pane="bottomRight" activeCell="D6" sqref="D6"/>
    </sheetView>
  </sheetViews>
  <sheetFormatPr defaultColWidth="9.08984375" defaultRowHeight="14.5" outlineLevelRow="2" outlineLevelCol="2" x14ac:dyDescent="0.35"/>
  <cols>
    <col min="1" max="1" width="4.453125" style="42" hidden="1" customWidth="1"/>
    <col min="2" max="2" width="4.36328125" style="2" customWidth="1"/>
    <col min="3" max="3" width="9.08984375" style="1"/>
    <col min="4" max="4" width="21.1796875" style="49" customWidth="1"/>
    <col min="5" max="5" width="11.54296875" style="74"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66.26953125" style="66" customWidth="1"/>
    <col min="25" max="25" width="76.6328125" style="66" hidden="1" customWidth="1"/>
    <col min="26" max="26" width="76.6328125" style="54" hidden="1" customWidth="1"/>
    <col min="27" max="27" width="58.6328125" style="35" hidden="1" customWidth="1"/>
    <col min="28" max="28" width="8.6328125" style="1" customWidth="1"/>
    <col min="29" max="29" width="13" style="1" hidden="1" customWidth="1" outlineLevel="1"/>
    <col min="30" max="31" width="9.08984375" style="1" hidden="1" customWidth="1" outlineLevel="1"/>
    <col min="32" max="39" width="14.6328125" style="1" hidden="1" customWidth="1" outlineLevel="1"/>
    <col min="40" max="40" width="9.453125" style="1" bestFit="1" customWidth="1" collapsed="1"/>
    <col min="41" max="16384" width="9.08984375" style="1"/>
  </cols>
  <sheetData>
    <row r="1" spans="1:39" ht="41.25" customHeight="1" x14ac:dyDescent="0.35">
      <c r="B1" s="1169" t="s">
        <v>82</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
    </row>
    <row r="2" spans="1:39" ht="23.25" customHeight="1" x14ac:dyDescent="0.35">
      <c r="P2" s="1174" t="s">
        <v>81</v>
      </c>
      <c r="Q2" s="1175"/>
      <c r="R2" s="1175"/>
      <c r="S2" s="1176"/>
      <c r="U2" s="1192" t="str">
        <f>Bud_Yr-1&amp;" Year to Date (YTD)"</f>
        <v>2023 Year to Date (YTD)</v>
      </c>
      <c r="V2" s="1193"/>
      <c r="W2" s="1194"/>
      <c r="X2" s="893"/>
      <c r="Y2" s="893"/>
    </row>
    <row r="3" spans="1:39" ht="27.65" customHeight="1" x14ac:dyDescent="0.35">
      <c r="P3" s="1201" t="str">
        <f>Bud_Yr&amp;" Budget"</f>
        <v>2024 Budget</v>
      </c>
      <c r="Q3" s="1202" t="str">
        <f>Bud_Yr-1&amp;" Budget"</f>
        <v>2023 Budget</v>
      </c>
      <c r="R3" s="1195" t="str">
        <f>Bud_Yr&amp;" Budget vs             "&amp;Bud_Yr-1&amp;" Budget"</f>
        <v>2024 Budget vs             2023 Budget</v>
      </c>
      <c r="S3" s="1196"/>
      <c r="T3" s="49"/>
      <c r="U3" s="1197" t="s">
        <v>759</v>
      </c>
      <c r="V3" s="1199" t="s">
        <v>760</v>
      </c>
      <c r="W3" s="1184" t="s">
        <v>80</v>
      </c>
      <c r="X3" s="894"/>
      <c r="Y3" s="894"/>
      <c r="AF3" s="1188" t="str">
        <f>Bud_Yr&amp;" Budget"</f>
        <v>2024 Budget</v>
      </c>
      <c r="AG3" s="1189"/>
      <c r="AH3" s="1189"/>
      <c r="AI3" s="1190"/>
      <c r="AJ3" s="1188" t="str">
        <f>+U3</f>
        <v>September 2023 YTD Actual</v>
      </c>
      <c r="AK3" s="1189"/>
      <c r="AL3" s="1189"/>
      <c r="AM3" s="1190"/>
    </row>
    <row r="4" spans="1:39" s="2" customFormat="1" x14ac:dyDescent="0.35">
      <c r="A4" s="43"/>
      <c r="D4" s="14"/>
      <c r="E4" s="75"/>
      <c r="F4" s="76"/>
      <c r="G4" s="76"/>
      <c r="H4" s="76"/>
      <c r="I4" s="76"/>
      <c r="J4" s="76"/>
      <c r="K4" s="76"/>
      <c r="L4" s="76"/>
      <c r="M4" s="76"/>
      <c r="N4" s="76"/>
      <c r="P4" s="1188"/>
      <c r="Q4" s="1189"/>
      <c r="R4" s="48" t="s">
        <v>107</v>
      </c>
      <c r="S4" s="50" t="s">
        <v>108</v>
      </c>
      <c r="U4" s="1198"/>
      <c r="V4" s="1200"/>
      <c r="W4" s="1185"/>
      <c r="X4" s="55" t="str">
        <f>Bud_Yr&amp;" Budget Notes"</f>
        <v>2024 Budget Notes</v>
      </c>
      <c r="Y4" s="55" t="s">
        <v>718</v>
      </c>
      <c r="Z4" s="55" t="str">
        <f>Bud_Yr&amp;" Budget Notes"</f>
        <v>2024 Budget Notes</v>
      </c>
      <c r="AA4" s="5" t="s">
        <v>109</v>
      </c>
      <c r="AF4" s="362" t="s">
        <v>306</v>
      </c>
      <c r="AG4" s="363" t="s">
        <v>259</v>
      </c>
      <c r="AH4" s="363" t="s">
        <v>260</v>
      </c>
      <c r="AI4" s="363" t="s">
        <v>261</v>
      </c>
      <c r="AJ4" s="362" t="s">
        <v>306</v>
      </c>
      <c r="AK4" s="363" t="s">
        <v>259</v>
      </c>
      <c r="AL4" s="363" t="s">
        <v>260</v>
      </c>
      <c r="AM4" s="363" t="s">
        <v>261</v>
      </c>
    </row>
    <row r="5" spans="1:39" s="2" customFormat="1" ht="23.5" x14ac:dyDescent="0.35">
      <c r="A5" s="43"/>
      <c r="B5" s="836" t="s">
        <v>0</v>
      </c>
      <c r="D5" s="14"/>
      <c r="E5" s="75"/>
      <c r="F5" s="76"/>
      <c r="G5" s="76"/>
      <c r="H5" s="76"/>
      <c r="I5" s="76"/>
      <c r="J5" s="76"/>
      <c r="K5" s="76"/>
      <c r="L5" s="76"/>
      <c r="M5" s="76"/>
      <c r="N5" s="76"/>
      <c r="P5" s="7"/>
      <c r="Q5" s="8"/>
      <c r="R5" s="39"/>
      <c r="S5" s="8"/>
      <c r="U5" s="8"/>
      <c r="V5" s="8"/>
      <c r="W5" s="8"/>
      <c r="X5" s="894"/>
      <c r="Y5" s="894"/>
      <c r="Z5" s="67"/>
      <c r="AA5" s="56"/>
    </row>
    <row r="6" spans="1:39" s="822" customFormat="1" ht="19.5" customHeight="1" x14ac:dyDescent="0.35">
      <c r="A6" s="821">
        <v>1</v>
      </c>
      <c r="B6" s="838" t="s">
        <v>1</v>
      </c>
      <c r="D6" s="823"/>
      <c r="E6" s="824"/>
      <c r="F6" s="825"/>
      <c r="G6" s="825"/>
      <c r="H6" s="825"/>
      <c r="I6" s="825"/>
      <c r="J6" s="825"/>
      <c r="K6" s="825"/>
      <c r="L6" s="825"/>
      <c r="M6" s="825"/>
      <c r="N6" s="825"/>
      <c r="W6" s="825"/>
      <c r="X6" s="895"/>
      <c r="Y6" s="895"/>
      <c r="Z6" s="839"/>
      <c r="AA6" s="840"/>
    </row>
    <row r="7" spans="1:39" ht="13.5" customHeight="1" x14ac:dyDescent="0.35">
      <c r="A7" s="42">
        <v>2</v>
      </c>
      <c r="C7" s="373" t="s">
        <v>801</v>
      </c>
      <c r="D7" s="374"/>
      <c r="E7" s="375"/>
      <c r="F7" s="376"/>
      <c r="G7" s="376"/>
      <c r="H7" s="376"/>
      <c r="I7" s="376"/>
      <c r="J7" s="376"/>
      <c r="K7" s="376"/>
      <c r="L7" s="376"/>
      <c r="M7" s="376"/>
      <c r="N7" s="376"/>
      <c r="O7" s="373"/>
      <c r="P7" s="381">
        <v>400000</v>
      </c>
      <c r="Q7" s="381">
        <v>400000</v>
      </c>
      <c r="R7" s="378">
        <f t="shared" ref="R7:R11" si="0">+P7-Q7</f>
        <v>0</v>
      </c>
      <c r="S7" s="379">
        <f t="shared" ref="S7:S12" si="1">IF(Q7=0,"NA",(+P7-Q7)/Q7)</f>
        <v>0</v>
      </c>
      <c r="T7" s="373"/>
      <c r="U7" s="377">
        <v>311384.69</v>
      </c>
      <c r="V7" s="377">
        <v>295419.99</v>
      </c>
      <c r="W7" s="379">
        <f t="shared" ref="W7:W12" si="2">IF(V7=0,"NA",(+U7-V7)/V7)</f>
        <v>5.4040689663553278E-2</v>
      </c>
      <c r="X7" s="896"/>
      <c r="Y7" s="1026"/>
      <c r="Z7" s="605" t="s">
        <v>507</v>
      </c>
      <c r="AA7" s="57" t="s">
        <v>115</v>
      </c>
    </row>
    <row r="8" spans="1:39" ht="13.5" customHeight="1" x14ac:dyDescent="0.35">
      <c r="A8" s="42">
        <v>4</v>
      </c>
      <c r="C8" s="228" t="s">
        <v>2</v>
      </c>
      <c r="D8" s="238"/>
      <c r="E8" s="239"/>
      <c r="F8" s="240"/>
      <c r="G8" s="240"/>
      <c r="H8" s="240"/>
      <c r="I8" s="240"/>
      <c r="J8" s="240"/>
      <c r="K8" s="240"/>
      <c r="L8" s="240"/>
      <c r="M8" s="240"/>
      <c r="N8" s="240"/>
      <c r="O8" s="228"/>
      <c r="P8" s="225">
        <v>3000</v>
      </c>
      <c r="Q8" s="225">
        <v>3000</v>
      </c>
      <c r="R8" s="226">
        <f t="shared" si="0"/>
        <v>0</v>
      </c>
      <c r="S8" s="227">
        <f t="shared" si="1"/>
        <v>0</v>
      </c>
      <c r="T8" s="228"/>
      <c r="U8" s="225">
        <v>3121</v>
      </c>
      <c r="V8" s="225">
        <v>3000</v>
      </c>
      <c r="W8" s="227">
        <f t="shared" si="2"/>
        <v>4.0333333333333332E-2</v>
      </c>
      <c r="X8" s="897"/>
      <c r="Y8" s="897"/>
      <c r="Z8" s="229"/>
      <c r="AA8" s="57"/>
    </row>
    <row r="9" spans="1:39" ht="13.5" customHeight="1" x14ac:dyDescent="0.35">
      <c r="A9" s="42">
        <v>5</v>
      </c>
      <c r="C9" s="228" t="s">
        <v>3</v>
      </c>
      <c r="D9" s="238"/>
      <c r="E9" s="239"/>
      <c r="F9" s="240"/>
      <c r="G9" s="240"/>
      <c r="H9" s="240"/>
      <c r="I9" s="240"/>
      <c r="J9" s="240"/>
      <c r="K9" s="240"/>
      <c r="L9" s="240"/>
      <c r="M9" s="240"/>
      <c r="N9" s="240"/>
      <c r="O9" s="228"/>
      <c r="P9" s="225">
        <v>500</v>
      </c>
      <c r="Q9" s="225">
        <v>500</v>
      </c>
      <c r="R9" s="226">
        <f t="shared" si="0"/>
        <v>0</v>
      </c>
      <c r="S9" s="227">
        <f t="shared" si="1"/>
        <v>0</v>
      </c>
      <c r="T9" s="228"/>
      <c r="U9" s="225">
        <v>0</v>
      </c>
      <c r="V9" s="225">
        <v>0</v>
      </c>
      <c r="W9" s="227" t="str">
        <f t="shared" si="2"/>
        <v>NA</v>
      </c>
      <c r="X9" s="897"/>
      <c r="Y9" s="897"/>
      <c r="Z9" s="773"/>
      <c r="AA9" s="57"/>
    </row>
    <row r="10" spans="1:39" ht="13.5" customHeight="1" x14ac:dyDescent="0.35">
      <c r="A10" s="42">
        <v>6</v>
      </c>
      <c r="C10" s="228" t="s">
        <v>4</v>
      </c>
      <c r="D10" s="238"/>
      <c r="E10" s="239"/>
      <c r="F10" s="240"/>
      <c r="G10" s="240"/>
      <c r="H10" s="240"/>
      <c r="I10" s="240"/>
      <c r="J10" s="240"/>
      <c r="K10" s="240"/>
      <c r="L10" s="240"/>
      <c r="M10" s="240"/>
      <c r="N10" s="240"/>
      <c r="O10" s="228"/>
      <c r="P10" s="225">
        <v>5000</v>
      </c>
      <c r="Q10" s="225">
        <v>5000</v>
      </c>
      <c r="R10" s="226">
        <f t="shared" si="0"/>
        <v>0</v>
      </c>
      <c r="S10" s="227">
        <f t="shared" si="1"/>
        <v>0</v>
      </c>
      <c r="T10" s="228"/>
      <c r="U10" s="225">
        <v>0</v>
      </c>
      <c r="V10" s="225">
        <v>0</v>
      </c>
      <c r="W10" s="227" t="str">
        <f t="shared" si="2"/>
        <v>NA</v>
      </c>
      <c r="X10" s="897"/>
      <c r="Y10" s="897"/>
      <c r="Z10" s="229"/>
      <c r="AA10" s="57"/>
    </row>
    <row r="11" spans="1:39" ht="13.5" customHeight="1" x14ac:dyDescent="0.35">
      <c r="A11" s="42">
        <v>7</v>
      </c>
      <c r="C11" s="228" t="s">
        <v>5</v>
      </c>
      <c r="D11" s="238"/>
      <c r="E11" s="239"/>
      <c r="F11" s="240"/>
      <c r="G11" s="240"/>
      <c r="H11" s="240"/>
      <c r="I11" s="240"/>
      <c r="J11" s="240"/>
      <c r="K11" s="240"/>
      <c r="L11" s="240"/>
      <c r="M11" s="240"/>
      <c r="N11" s="240"/>
      <c r="O11" s="228"/>
      <c r="P11" s="225">
        <v>1500</v>
      </c>
      <c r="Q11" s="225">
        <v>1500</v>
      </c>
      <c r="R11" s="226">
        <f t="shared" si="0"/>
        <v>0</v>
      </c>
      <c r="S11" s="227">
        <f t="shared" si="1"/>
        <v>0</v>
      </c>
      <c r="T11" s="228"/>
      <c r="U11" s="225">
        <v>1460</v>
      </c>
      <c r="V11" s="225">
        <v>1500</v>
      </c>
      <c r="W11" s="227">
        <f t="shared" si="2"/>
        <v>-2.6666666666666668E-2</v>
      </c>
      <c r="X11" s="897"/>
      <c r="Y11" s="897"/>
      <c r="Z11" s="229"/>
      <c r="AA11" s="57"/>
    </row>
    <row r="12" spans="1:39" x14ac:dyDescent="0.35">
      <c r="A12" s="42">
        <v>8</v>
      </c>
      <c r="B12" s="9" t="s">
        <v>6</v>
      </c>
      <c r="C12" s="9"/>
      <c r="D12" s="9"/>
      <c r="E12" s="77"/>
      <c r="F12" s="77"/>
      <c r="G12" s="77"/>
      <c r="H12" s="77"/>
      <c r="I12" s="77"/>
      <c r="J12" s="77"/>
      <c r="K12" s="77"/>
      <c r="L12" s="77"/>
      <c r="M12" s="77"/>
      <c r="N12" s="77"/>
      <c r="O12" s="9"/>
      <c r="P12" s="9">
        <f>SUM(P7:P11)</f>
        <v>410000</v>
      </c>
      <c r="Q12" s="9">
        <f>SUM(Q7:Q11)</f>
        <v>410000</v>
      </c>
      <c r="R12" s="9">
        <f>SUM(R7:R11)</f>
        <v>0</v>
      </c>
      <c r="S12" s="10">
        <f t="shared" si="1"/>
        <v>0</v>
      </c>
      <c r="U12" s="9">
        <f>SUM(U7:U11)</f>
        <v>315965.69</v>
      </c>
      <c r="V12" s="9">
        <f>SUM(V7:V11)</f>
        <v>299919.99</v>
      </c>
      <c r="W12" s="10">
        <f t="shared" si="2"/>
        <v>5.3499935099357708E-2</v>
      </c>
      <c r="X12" s="898"/>
      <c r="Y12" s="898"/>
      <c r="Z12" s="68"/>
      <c r="AA12" s="58"/>
    </row>
    <row r="13" spans="1:39" s="822" customFormat="1" ht="19.5" hidden="1" customHeight="1" x14ac:dyDescent="0.35">
      <c r="A13" s="821">
        <v>10</v>
      </c>
      <c r="B13" s="838" t="s">
        <v>7</v>
      </c>
      <c r="D13" s="823"/>
      <c r="E13" s="824"/>
      <c r="F13" s="825"/>
      <c r="G13" s="825"/>
      <c r="H13" s="825"/>
      <c r="I13" s="825"/>
      <c r="J13" s="825"/>
      <c r="K13" s="825"/>
      <c r="L13" s="825"/>
      <c r="M13" s="825"/>
      <c r="N13" s="825"/>
      <c r="S13" s="825"/>
      <c r="W13" s="825"/>
      <c r="X13" s="895"/>
      <c r="Y13" s="895"/>
      <c r="Z13" s="826"/>
      <c r="AA13" s="827"/>
    </row>
    <row r="14" spans="1:39" ht="14.5" hidden="1" customHeight="1" x14ac:dyDescent="0.35">
      <c r="A14" s="42">
        <v>11</v>
      </c>
      <c r="C14" s="223" t="s">
        <v>294</v>
      </c>
      <c r="D14" s="235"/>
      <c r="E14" s="236"/>
      <c r="F14" s="237"/>
      <c r="G14" s="237"/>
      <c r="H14" s="237"/>
      <c r="I14" s="237"/>
      <c r="J14" s="237"/>
      <c r="K14" s="237"/>
      <c r="L14" s="237"/>
      <c r="M14" s="237"/>
      <c r="N14" s="237"/>
      <c r="O14" s="223"/>
      <c r="P14" s="220">
        <f>6000</f>
        <v>6000</v>
      </c>
      <c r="Q14" s="220">
        <v>6000</v>
      </c>
      <c r="R14" s="221">
        <f>+P14-Q14</f>
        <v>0</v>
      </c>
      <c r="S14" s="222">
        <f>IF(Q14=0,"NA",(+P14-Q14)/Q14)</f>
        <v>0</v>
      </c>
      <c r="T14" s="223"/>
      <c r="U14" s="220">
        <v>8196.5</v>
      </c>
      <c r="V14" s="220">
        <v>4500</v>
      </c>
      <c r="W14" s="222">
        <f>IF(V14=0,"NA",(+U14-V14)/V14)</f>
        <v>0.82144444444444442</v>
      </c>
      <c r="X14" s="899" t="s">
        <v>795</v>
      </c>
      <c r="Y14" s="891" t="s">
        <v>593</v>
      </c>
      <c r="Z14" s="224" t="s">
        <v>528</v>
      </c>
      <c r="AA14" s="57"/>
    </row>
    <row r="15" spans="1:39" hidden="1" x14ac:dyDescent="0.35">
      <c r="A15" s="42">
        <v>15</v>
      </c>
      <c r="C15" s="233" t="s">
        <v>90</v>
      </c>
      <c r="D15" s="241"/>
      <c r="E15" s="242"/>
      <c r="F15" s="243"/>
      <c r="G15" s="243"/>
      <c r="H15" s="243"/>
      <c r="I15" s="243"/>
      <c r="J15" s="243"/>
      <c r="K15" s="243"/>
      <c r="L15" s="243"/>
      <c r="M15" s="243"/>
      <c r="N15" s="243"/>
      <c r="O15" s="233"/>
      <c r="P15" s="230">
        <v>0</v>
      </c>
      <c r="Q15" s="230">
        <v>0</v>
      </c>
      <c r="R15" s="231">
        <f>+P15-Q15</f>
        <v>0</v>
      </c>
      <c r="S15" s="232" t="str">
        <f>IF(Q15=0,"NA",(+P15-Q15)/Q15)</f>
        <v>NA</v>
      </c>
      <c r="T15" s="233"/>
      <c r="U15" s="230">
        <v>0</v>
      </c>
      <c r="V15" s="230">
        <v>0</v>
      </c>
      <c r="W15" s="232" t="str">
        <f>IF(V15=0,"NA",(+U15-V15)/V15)</f>
        <v>NA</v>
      </c>
      <c r="X15" s="892"/>
      <c r="Y15" s="892"/>
      <c r="Z15" s="244"/>
      <c r="AA15" s="58"/>
      <c r="AB15" s="1">
        <v>11000</v>
      </c>
    </row>
    <row r="16" spans="1:39" x14ac:dyDescent="0.35">
      <c r="A16" s="42">
        <v>16</v>
      </c>
      <c r="B16" s="9" t="s">
        <v>8</v>
      </c>
      <c r="C16" s="9"/>
      <c r="D16" s="9"/>
      <c r="E16" s="77"/>
      <c r="F16" s="77"/>
      <c r="G16" s="77"/>
      <c r="H16" s="77"/>
      <c r="I16" s="77"/>
      <c r="J16" s="77"/>
      <c r="K16" s="77"/>
      <c r="L16" s="77"/>
      <c r="M16" s="77"/>
      <c r="N16" s="77"/>
      <c r="O16" s="9"/>
      <c r="P16" s="9">
        <f>SUM(P14:P15)</f>
        <v>6000</v>
      </c>
      <c r="Q16" s="9">
        <f>SUM(Q14:Q15)</f>
        <v>6000</v>
      </c>
      <c r="R16" s="9">
        <f>SUM(R14:R15)</f>
        <v>0</v>
      </c>
      <c r="S16" s="10">
        <f>IF(Q16=0,"NA",(+P16-Q16)/Q16)</f>
        <v>0</v>
      </c>
      <c r="U16" s="9">
        <f>SUM(U14:U15)</f>
        <v>8196.5</v>
      </c>
      <c r="V16" s="9">
        <f>SUM(V14:V15)</f>
        <v>4500</v>
      </c>
      <c r="W16" s="10">
        <f>IF(V16=0,"NA",(+U16-V16)/V16)</f>
        <v>0.82144444444444442</v>
      </c>
      <c r="X16" s="898"/>
      <c r="Y16" s="898"/>
      <c r="Z16" s="68"/>
      <c r="AA16" s="58"/>
    </row>
    <row r="17" spans="1:40" x14ac:dyDescent="0.35">
      <c r="A17" s="42">
        <v>17</v>
      </c>
      <c r="B17" s="9" t="s">
        <v>9</v>
      </c>
      <c r="C17" s="9"/>
      <c r="D17" s="9"/>
      <c r="E17" s="77"/>
      <c r="F17" s="77"/>
      <c r="G17" s="77"/>
      <c r="H17" s="77"/>
      <c r="I17" s="77"/>
      <c r="J17" s="77"/>
      <c r="K17" s="77"/>
      <c r="L17" s="77"/>
      <c r="M17" s="77"/>
      <c r="N17" s="77"/>
      <c r="O17" s="9"/>
      <c r="P17" s="9">
        <f>+P12+P16</f>
        <v>416000</v>
      </c>
      <c r="Q17" s="9">
        <f>+Q12+Q16</f>
        <v>416000</v>
      </c>
      <c r="R17" s="9">
        <f>+R12+R16</f>
        <v>0</v>
      </c>
      <c r="S17" s="10">
        <f>IF(Q17=0,"NA",(+P17-Q17)/Q17)</f>
        <v>0</v>
      </c>
      <c r="U17" s="9">
        <f>+U12+U16</f>
        <v>324162.19</v>
      </c>
      <c r="V17" s="9">
        <f>+V12+V16</f>
        <v>304419.99</v>
      </c>
      <c r="W17" s="10">
        <f>IF(V17=0,"NA",(+U17-V17)/V17)</f>
        <v>6.4851851548907852E-2</v>
      </c>
      <c r="X17" s="1164"/>
      <c r="Y17" s="898"/>
      <c r="Z17" s="68"/>
      <c r="AA17" s="58"/>
    </row>
    <row r="18" spans="1:40" s="829" customFormat="1" ht="27" customHeight="1" x14ac:dyDescent="0.55000000000000004">
      <c r="A18" s="828">
        <v>19</v>
      </c>
      <c r="B18" s="835" t="s">
        <v>10</v>
      </c>
      <c r="D18" s="830"/>
      <c r="E18" s="831"/>
      <c r="F18" s="832"/>
      <c r="G18" s="832"/>
      <c r="H18" s="832"/>
      <c r="I18" s="832"/>
      <c r="J18" s="832"/>
      <c r="K18" s="832"/>
      <c r="L18" s="832"/>
      <c r="M18" s="832"/>
      <c r="N18" s="832"/>
      <c r="S18" s="832"/>
      <c r="W18" s="832"/>
      <c r="X18" s="900"/>
      <c r="Y18" s="900"/>
      <c r="Z18" s="833"/>
      <c r="AA18" s="834"/>
    </row>
    <row r="19" spans="1:40" ht="23" customHeight="1" x14ac:dyDescent="0.35">
      <c r="B19" s="6" t="s">
        <v>87</v>
      </c>
      <c r="S19" s="38"/>
      <c r="W19" s="38"/>
      <c r="Z19" s="68"/>
      <c r="AA19" s="58"/>
    </row>
    <row r="20" spans="1:40" ht="13.5" customHeight="1" x14ac:dyDescent="0.35">
      <c r="B20" s="6"/>
      <c r="C20" s="223" t="s">
        <v>296</v>
      </c>
      <c r="D20" s="235"/>
      <c r="E20" s="236"/>
      <c r="F20" s="237"/>
      <c r="G20" s="237"/>
      <c r="H20" s="237"/>
      <c r="I20" s="237"/>
      <c r="J20" s="237"/>
      <c r="K20" s="237"/>
      <c r="L20" s="237"/>
      <c r="M20" s="237"/>
      <c r="N20" s="237"/>
      <c r="O20" s="223"/>
      <c r="P20" s="247">
        <f>18150-1000</f>
        <v>17150</v>
      </c>
      <c r="Q20" s="247">
        <v>18150</v>
      </c>
      <c r="R20" s="221">
        <f t="shared" ref="R20:R28" si="3">+P20-Q20</f>
        <v>-1000</v>
      </c>
      <c r="S20" s="222">
        <f t="shared" ref="S20:S28" si="4">IF(Q20=0,"NA",(+P20-Q20)/Q20)</f>
        <v>-5.5096418732782371E-2</v>
      </c>
      <c r="T20" s="223"/>
      <c r="U20" s="220">
        <v>13612.5</v>
      </c>
      <c r="V20" s="220">
        <v>13612.5</v>
      </c>
      <c r="W20" s="222">
        <f t="shared" ref="W20:W28" si="5">IF(V20=0,"NA",(+U20-V20)/V20)</f>
        <v>0</v>
      </c>
      <c r="X20" s="899"/>
      <c r="Y20" s="986"/>
      <c r="Z20" s="224"/>
      <c r="AA20" s="58"/>
      <c r="AN20" s="25"/>
    </row>
    <row r="21" spans="1:40" ht="13.5" customHeight="1" x14ac:dyDescent="0.35">
      <c r="B21" s="6"/>
      <c r="C21" s="228" t="s">
        <v>428</v>
      </c>
      <c r="D21" s="238"/>
      <c r="E21" s="239"/>
      <c r="F21" s="240"/>
      <c r="G21" s="240"/>
      <c r="H21" s="240"/>
      <c r="I21" s="240"/>
      <c r="J21" s="240"/>
      <c r="K21" s="240"/>
      <c r="L21" s="240"/>
      <c r="M21" s="240"/>
      <c r="N21" s="240"/>
      <c r="O21" s="228"/>
      <c r="P21" s="245">
        <v>500</v>
      </c>
      <c r="Q21" s="245">
        <v>500</v>
      </c>
      <c r="R21" s="221">
        <f t="shared" si="3"/>
        <v>0</v>
      </c>
      <c r="S21" s="222">
        <f t="shared" si="4"/>
        <v>0</v>
      </c>
      <c r="T21" s="223"/>
      <c r="U21" s="220">
        <v>375</v>
      </c>
      <c r="V21" s="220">
        <v>375</v>
      </c>
      <c r="W21" s="222">
        <f t="shared" si="5"/>
        <v>0</v>
      </c>
      <c r="X21" s="899"/>
      <c r="Y21" s="899"/>
      <c r="Z21" s="224"/>
      <c r="AA21" s="58"/>
    </row>
    <row r="22" spans="1:40" ht="13.5" customHeight="1" x14ac:dyDescent="0.35">
      <c r="B22" s="6"/>
      <c r="C22" s="228" t="s">
        <v>305</v>
      </c>
      <c r="D22" s="238"/>
      <c r="E22" s="239"/>
      <c r="F22" s="240"/>
      <c r="G22" s="240"/>
      <c r="H22" s="240"/>
      <c r="I22" s="240"/>
      <c r="J22" s="240"/>
      <c r="K22" s="240"/>
      <c r="L22" s="240"/>
      <c r="M22" s="240"/>
      <c r="N22" s="240"/>
      <c r="O22" s="228"/>
      <c r="P22" s="245">
        <v>1500</v>
      </c>
      <c r="Q22" s="245">
        <v>1500</v>
      </c>
      <c r="R22" s="221">
        <f t="shared" si="3"/>
        <v>0</v>
      </c>
      <c r="S22" s="222">
        <f t="shared" si="4"/>
        <v>0</v>
      </c>
      <c r="T22" s="223"/>
      <c r="U22" s="220">
        <v>1125</v>
      </c>
      <c r="V22" s="220">
        <v>1125</v>
      </c>
      <c r="W22" s="222">
        <f t="shared" si="5"/>
        <v>0</v>
      </c>
      <c r="X22" s="899"/>
      <c r="Y22" s="899"/>
      <c r="Z22" s="224"/>
      <c r="AA22" s="58"/>
    </row>
    <row r="23" spans="1:40" ht="13.5" customHeight="1" x14ac:dyDescent="0.35">
      <c r="B23" s="6"/>
      <c r="C23" s="228" t="s">
        <v>670</v>
      </c>
      <c r="D23" s="238"/>
      <c r="E23" s="239"/>
      <c r="F23" s="240"/>
      <c r="G23" s="240"/>
      <c r="H23" s="240"/>
      <c r="I23" s="240"/>
      <c r="J23" s="240"/>
      <c r="K23" s="240"/>
      <c r="L23" s="240"/>
      <c r="M23" s="240"/>
      <c r="N23" s="240"/>
      <c r="O23" s="228"/>
      <c r="P23" s="245">
        <v>750</v>
      </c>
      <c r="Q23" s="245">
        <v>750</v>
      </c>
      <c r="R23" s="221">
        <f t="shared" si="3"/>
        <v>0</v>
      </c>
      <c r="S23" s="222">
        <f t="shared" si="4"/>
        <v>0</v>
      </c>
      <c r="T23" s="223"/>
      <c r="U23" s="220">
        <v>562.5</v>
      </c>
      <c r="V23" s="220">
        <v>562.5</v>
      </c>
      <c r="W23" s="222">
        <f t="shared" si="5"/>
        <v>0</v>
      </c>
      <c r="X23" s="899"/>
      <c r="Y23" s="899"/>
      <c r="Z23" s="224"/>
      <c r="AA23" s="58"/>
    </row>
    <row r="24" spans="1:40" ht="13.5" customHeight="1" x14ac:dyDescent="0.35">
      <c r="B24" s="6"/>
      <c r="C24" s="228" t="s">
        <v>669</v>
      </c>
      <c r="D24" s="238"/>
      <c r="E24" s="239"/>
      <c r="F24" s="240"/>
      <c r="G24" s="240"/>
      <c r="H24" s="240"/>
      <c r="I24" s="240"/>
      <c r="J24" s="240"/>
      <c r="K24" s="240"/>
      <c r="L24" s="240"/>
      <c r="M24" s="240"/>
      <c r="N24" s="240"/>
      <c r="O24" s="228"/>
      <c r="P24" s="245">
        <v>1000</v>
      </c>
      <c r="Q24" s="245">
        <v>1000</v>
      </c>
      <c r="R24" s="221">
        <f t="shared" si="3"/>
        <v>0</v>
      </c>
      <c r="S24" s="222">
        <f t="shared" si="4"/>
        <v>0</v>
      </c>
      <c r="T24" s="223"/>
      <c r="U24" s="220">
        <v>750</v>
      </c>
      <c r="V24" s="220">
        <v>750</v>
      </c>
      <c r="W24" s="222">
        <f t="shared" si="5"/>
        <v>0</v>
      </c>
      <c r="X24" s="899"/>
      <c r="Y24" s="899"/>
      <c r="Z24" s="224"/>
      <c r="AA24" s="58"/>
    </row>
    <row r="25" spans="1:40" ht="13.5" customHeight="1" x14ac:dyDescent="0.35">
      <c r="B25" s="6"/>
      <c r="C25" s="228" t="s">
        <v>803</v>
      </c>
      <c r="D25" s="238"/>
      <c r="E25" s="239"/>
      <c r="F25" s="240"/>
      <c r="G25" s="240"/>
      <c r="H25" s="240"/>
      <c r="I25" s="240"/>
      <c r="J25" s="240"/>
      <c r="K25" s="240"/>
      <c r="L25" s="240"/>
      <c r="M25" s="240"/>
      <c r="N25" s="240"/>
      <c r="O25" s="228"/>
      <c r="P25" s="245">
        <v>1000</v>
      </c>
      <c r="Q25" s="245">
        <v>0</v>
      </c>
      <c r="R25" s="221">
        <f t="shared" ref="R25" si="6">+P25-Q25</f>
        <v>1000</v>
      </c>
      <c r="S25" s="222" t="str">
        <f t="shared" ref="S25" si="7">IF(Q25=0,"NA",(+P25-Q25)/Q25)</f>
        <v>NA</v>
      </c>
      <c r="T25" s="223"/>
      <c r="U25" s="220">
        <v>0</v>
      </c>
      <c r="V25" s="220">
        <v>0</v>
      </c>
      <c r="W25" s="222" t="str">
        <f t="shared" ref="W25" si="8">IF(V25=0,"NA",(+U25-V25)/V25)</f>
        <v>NA</v>
      </c>
      <c r="X25" s="899" t="s">
        <v>804</v>
      </c>
      <c r="Y25" s="899"/>
      <c r="Z25" s="224"/>
      <c r="AA25" s="58"/>
    </row>
    <row r="26" spans="1:40" ht="13.5" customHeight="1" x14ac:dyDescent="0.35">
      <c r="B26" s="6"/>
      <c r="C26" s="228" t="s">
        <v>301</v>
      </c>
      <c r="D26" s="238"/>
      <c r="E26" s="239"/>
      <c r="F26" s="240"/>
      <c r="G26" s="240"/>
      <c r="H26" s="240"/>
      <c r="I26" s="240"/>
      <c r="J26" s="240"/>
      <c r="K26" s="240"/>
      <c r="L26" s="240"/>
      <c r="M26" s="240"/>
      <c r="N26" s="240"/>
      <c r="O26" s="228"/>
      <c r="P26" s="245">
        <v>1000</v>
      </c>
      <c r="Q26" s="245">
        <v>1000</v>
      </c>
      <c r="R26" s="221">
        <f t="shared" si="3"/>
        <v>0</v>
      </c>
      <c r="S26" s="222">
        <f t="shared" si="4"/>
        <v>0</v>
      </c>
      <c r="T26" s="223"/>
      <c r="U26" s="220">
        <v>750</v>
      </c>
      <c r="V26" s="220">
        <v>750</v>
      </c>
      <c r="W26" s="222">
        <f t="shared" si="5"/>
        <v>0</v>
      </c>
      <c r="X26" s="899"/>
      <c r="Y26" s="899"/>
      <c r="Z26" s="224"/>
      <c r="AA26" s="58"/>
    </row>
    <row r="27" spans="1:40" ht="13.5" customHeight="1" x14ac:dyDescent="0.35">
      <c r="B27" s="6"/>
      <c r="C27" s="228" t="s">
        <v>427</v>
      </c>
      <c r="D27" s="238"/>
      <c r="E27" s="239"/>
      <c r="F27" s="240"/>
      <c r="G27" s="240"/>
      <c r="H27" s="240"/>
      <c r="I27" s="240"/>
      <c r="J27" s="240"/>
      <c r="K27" s="240"/>
      <c r="L27" s="240"/>
      <c r="M27" s="240"/>
      <c r="N27" s="240"/>
      <c r="O27" s="228"/>
      <c r="P27" s="245">
        <v>1000</v>
      </c>
      <c r="Q27" s="245">
        <v>1000</v>
      </c>
      <c r="R27" s="221">
        <f t="shared" si="3"/>
        <v>0</v>
      </c>
      <c r="S27" s="222">
        <f t="shared" si="4"/>
        <v>0</v>
      </c>
      <c r="T27" s="223"/>
      <c r="U27" s="220">
        <v>750</v>
      </c>
      <c r="V27" s="220">
        <v>750</v>
      </c>
      <c r="W27" s="222">
        <f t="shared" si="5"/>
        <v>0</v>
      </c>
      <c r="X27" s="899"/>
      <c r="Y27" s="899"/>
      <c r="Z27" s="224"/>
      <c r="AA27" s="58"/>
    </row>
    <row r="28" spans="1:40" ht="13.5" customHeight="1" x14ac:dyDescent="0.35">
      <c r="B28" s="6"/>
      <c r="C28" s="228" t="s">
        <v>303</v>
      </c>
      <c r="D28" s="238"/>
      <c r="E28" s="239"/>
      <c r="F28" s="240"/>
      <c r="G28" s="240"/>
      <c r="H28" s="240"/>
      <c r="I28" s="240"/>
      <c r="J28" s="240"/>
      <c r="K28" s="240"/>
      <c r="L28" s="240"/>
      <c r="M28" s="240"/>
      <c r="N28" s="240"/>
      <c r="O28" s="228"/>
      <c r="P28" s="245">
        <v>1000</v>
      </c>
      <c r="Q28" s="245">
        <v>1000</v>
      </c>
      <c r="R28" s="221">
        <f t="shared" si="3"/>
        <v>0</v>
      </c>
      <c r="S28" s="222">
        <f t="shared" si="4"/>
        <v>0</v>
      </c>
      <c r="T28" s="223"/>
      <c r="U28" s="220">
        <v>750</v>
      </c>
      <c r="V28" s="220">
        <v>750</v>
      </c>
      <c r="W28" s="222">
        <f t="shared" si="5"/>
        <v>0</v>
      </c>
      <c r="X28" s="899"/>
      <c r="Y28" s="899"/>
      <c r="Z28" s="224"/>
      <c r="AA28" s="58"/>
    </row>
    <row r="29" spans="1:40" s="2" customFormat="1" ht="29" x14ac:dyDescent="0.35">
      <c r="A29" s="42">
        <v>26</v>
      </c>
      <c r="B29" s="511">
        <v>0.08</v>
      </c>
      <c r="C29" s="1212" t="str">
        <f>ROUND((P29/P17),3)*100&amp;"% Benevolence Budget  "&amp;ROUND((U29/U17),3)*100&amp;"% Actual YTD"</f>
        <v>6% Benevolence Budget  5.8% Actual YTD</v>
      </c>
      <c r="D29" s="1212"/>
      <c r="E29" s="78"/>
      <c r="F29" s="79"/>
      <c r="G29" s="79"/>
      <c r="H29" s="79"/>
      <c r="I29" s="79"/>
      <c r="J29" s="79"/>
      <c r="K29" s="79"/>
      <c r="L29" s="79"/>
      <c r="M29" s="79"/>
      <c r="N29" s="79"/>
      <c r="O29" s="11"/>
      <c r="P29" s="11">
        <f>SUM(P20:P28)</f>
        <v>24900</v>
      </c>
      <c r="Q29" s="11">
        <f>SUM(Q20:Q28)</f>
        <v>24900</v>
      </c>
      <c r="R29" s="11">
        <f>+P29-Q29</f>
        <v>0</v>
      </c>
      <c r="S29" s="13">
        <f>IF(Q29=0,"NA",(+P29-Q29)/Q29)</f>
        <v>0</v>
      </c>
      <c r="T29" s="1"/>
      <c r="U29" s="530">
        <f>SUM(U20:U28)</f>
        <v>18675</v>
      </c>
      <c r="V29" s="530">
        <f>SUM(V20:V28)</f>
        <v>18675</v>
      </c>
      <c r="W29" s="13">
        <f>IF(V29=0,"NA",(+U29-V29)/V29)</f>
        <v>0</v>
      </c>
      <c r="X29" s="1165"/>
      <c r="Y29" s="901"/>
      <c r="Z29" s="62" t="s">
        <v>502</v>
      </c>
      <c r="AA29" s="59"/>
      <c r="AB29" s="2" t="s">
        <v>336</v>
      </c>
      <c r="AH29" s="1">
        <f>+$P29</f>
        <v>24900</v>
      </c>
      <c r="AI29" s="1"/>
      <c r="AL29" s="1">
        <f>+$U29</f>
        <v>18675</v>
      </c>
      <c r="AM29" s="1"/>
    </row>
    <row r="30" spans="1:40" s="2" customFormat="1" ht="23" customHeight="1" x14ac:dyDescent="0.35">
      <c r="A30" s="42">
        <v>28</v>
      </c>
      <c r="B30" s="18" t="s">
        <v>57</v>
      </c>
      <c r="C30" s="15"/>
      <c r="D30" s="14"/>
      <c r="E30" s="75"/>
      <c r="F30" s="75"/>
      <c r="G30" s="75"/>
      <c r="H30" s="75"/>
      <c r="I30" s="75"/>
      <c r="J30" s="75"/>
      <c r="K30" s="75"/>
      <c r="L30" s="75"/>
      <c r="M30" s="75"/>
      <c r="N30" s="75"/>
      <c r="O30" s="14"/>
      <c r="P30" s="529"/>
      <c r="Q30" s="811"/>
      <c r="R30" s="14"/>
      <c r="S30" s="17"/>
      <c r="T30" s="1"/>
      <c r="U30" s="14"/>
      <c r="V30" s="14"/>
      <c r="W30" s="17"/>
      <c r="X30" s="902"/>
      <c r="Y30" s="902"/>
      <c r="Z30" s="69"/>
      <c r="AA30" s="60"/>
    </row>
    <row r="31" spans="1:40" s="822" customFormat="1" ht="19.5" customHeight="1" x14ac:dyDescent="0.35">
      <c r="A31" s="821">
        <v>29</v>
      </c>
      <c r="B31" s="838" t="s">
        <v>11</v>
      </c>
      <c r="D31" s="823"/>
      <c r="E31" s="824"/>
      <c r="F31" s="825"/>
      <c r="G31" s="825"/>
      <c r="H31" s="825"/>
      <c r="I31" s="825"/>
      <c r="J31" s="825"/>
      <c r="K31" s="825"/>
      <c r="L31" s="825"/>
      <c r="M31" s="825"/>
      <c r="N31" s="825"/>
      <c r="S31" s="825"/>
      <c r="W31" s="825"/>
      <c r="X31" s="895"/>
      <c r="Y31" s="895"/>
      <c r="Z31" s="826"/>
      <c r="AA31" s="827"/>
    </row>
    <row r="32" spans="1:40" ht="13.5" customHeight="1" x14ac:dyDescent="0.35">
      <c r="A32" s="42">
        <v>30</v>
      </c>
      <c r="C32" s="373" t="s">
        <v>79</v>
      </c>
      <c r="D32" s="374"/>
      <c r="E32" s="375"/>
      <c r="F32" s="376"/>
      <c r="G32" s="376"/>
      <c r="H32" s="376"/>
      <c r="I32" s="376"/>
      <c r="J32" s="376"/>
      <c r="K32" s="376"/>
      <c r="L32" s="376"/>
      <c r="M32" s="376"/>
      <c r="N32" s="376"/>
      <c r="O32" s="373"/>
      <c r="P32" s="377">
        <v>1250</v>
      </c>
      <c r="Q32" s="377">
        <v>1250</v>
      </c>
      <c r="R32" s="378">
        <f t="shared" ref="R32:R37" si="9">+P32-Q32</f>
        <v>0</v>
      </c>
      <c r="S32" s="379">
        <f t="shared" ref="S32:S38" si="10">IF(Q32=0,"NA",(+P32-Q32)/Q32)</f>
        <v>0</v>
      </c>
      <c r="T32" s="373"/>
      <c r="U32" s="377">
        <v>283.43</v>
      </c>
      <c r="V32" s="377">
        <v>833.33</v>
      </c>
      <c r="W32" s="379">
        <f t="shared" ref="W32:W38" si="11">IF(V32=0,"NA",(+U32-V32)/V32)</f>
        <v>-0.65988263953055815</v>
      </c>
      <c r="X32" s="985"/>
      <c r="Y32" s="896" t="s">
        <v>643</v>
      </c>
      <c r="Z32" s="752" t="s">
        <v>429</v>
      </c>
      <c r="AA32" s="57" t="s">
        <v>117</v>
      </c>
      <c r="AG32" s="1">
        <f>+$P32</f>
        <v>1250</v>
      </c>
      <c r="AK32" s="1">
        <f>+$U32</f>
        <v>283.43</v>
      </c>
    </row>
    <row r="33" spans="1:37" ht="13.5" customHeight="1" x14ac:dyDescent="0.35">
      <c r="A33" s="42">
        <v>31</v>
      </c>
      <c r="C33" s="233" t="s">
        <v>12</v>
      </c>
      <c r="D33" s="241"/>
      <c r="E33" s="242"/>
      <c r="F33" s="243"/>
      <c r="G33" s="243"/>
      <c r="H33" s="243"/>
      <c r="I33" s="243"/>
      <c r="J33" s="243"/>
      <c r="K33" s="243"/>
      <c r="L33" s="243"/>
      <c r="M33" s="243"/>
      <c r="N33" s="243"/>
      <c r="O33" s="233"/>
      <c r="P33" s="230">
        <v>750</v>
      </c>
      <c r="Q33" s="230">
        <v>750</v>
      </c>
      <c r="R33" s="231">
        <f t="shared" si="9"/>
        <v>0</v>
      </c>
      <c r="S33" s="232">
        <f t="shared" si="10"/>
        <v>0</v>
      </c>
      <c r="T33" s="233"/>
      <c r="U33" s="230">
        <v>103.1</v>
      </c>
      <c r="V33" s="230">
        <v>750</v>
      </c>
      <c r="W33" s="232">
        <f t="shared" si="11"/>
        <v>-0.86253333333333326</v>
      </c>
      <c r="X33" s="892"/>
      <c r="Y33" s="983" t="s">
        <v>604</v>
      </c>
      <c r="Z33" s="603" t="s">
        <v>512</v>
      </c>
      <c r="AA33" s="61" t="s">
        <v>118</v>
      </c>
      <c r="AG33" s="1">
        <f t="shared" ref="AG33:AG37" si="12">+$P33</f>
        <v>750</v>
      </c>
      <c r="AK33" s="1">
        <f t="shared" ref="AK33:AK37" si="13">+$U33</f>
        <v>103.1</v>
      </c>
    </row>
    <row r="34" spans="1:37" ht="13.5" customHeight="1" x14ac:dyDescent="0.35">
      <c r="A34" s="42">
        <v>32</v>
      </c>
      <c r="C34" s="233" t="s">
        <v>268</v>
      </c>
      <c r="D34" s="241"/>
      <c r="E34" s="242"/>
      <c r="F34" s="243"/>
      <c r="G34" s="243"/>
      <c r="H34" s="243"/>
      <c r="I34" s="243"/>
      <c r="J34" s="243"/>
      <c r="K34" s="243"/>
      <c r="L34" s="243"/>
      <c r="M34" s="243"/>
      <c r="N34" s="243"/>
      <c r="O34" s="233"/>
      <c r="P34" s="230">
        <v>250</v>
      </c>
      <c r="Q34" s="230">
        <v>250</v>
      </c>
      <c r="R34" s="231">
        <f t="shared" si="9"/>
        <v>0</v>
      </c>
      <c r="S34" s="232">
        <f t="shared" si="10"/>
        <v>0</v>
      </c>
      <c r="T34" s="233"/>
      <c r="U34" s="230">
        <v>250</v>
      </c>
      <c r="V34" s="230">
        <v>250</v>
      </c>
      <c r="W34" s="232">
        <f t="shared" si="11"/>
        <v>0</v>
      </c>
      <c r="X34" s="892"/>
      <c r="Y34" s="892"/>
      <c r="Z34" s="234" t="s">
        <v>513</v>
      </c>
      <c r="AA34" s="61" t="s">
        <v>119</v>
      </c>
      <c r="AG34" s="1">
        <f t="shared" si="12"/>
        <v>250</v>
      </c>
      <c r="AK34" s="1">
        <f t="shared" si="13"/>
        <v>250</v>
      </c>
    </row>
    <row r="35" spans="1:37" ht="13.5" customHeight="1" x14ac:dyDescent="0.35">
      <c r="A35" s="42">
        <v>33</v>
      </c>
      <c r="C35" s="233" t="s">
        <v>13</v>
      </c>
      <c r="D35" s="241"/>
      <c r="E35" s="242"/>
      <c r="F35" s="243"/>
      <c r="G35" s="243"/>
      <c r="H35" s="243"/>
      <c r="I35" s="243"/>
      <c r="J35" s="243"/>
      <c r="K35" s="243"/>
      <c r="L35" s="243"/>
      <c r="M35" s="243"/>
      <c r="N35" s="243"/>
      <c r="O35" s="233"/>
      <c r="P35" s="230">
        <v>300</v>
      </c>
      <c r="Q35" s="230">
        <v>300</v>
      </c>
      <c r="R35" s="231">
        <f t="shared" si="9"/>
        <v>0</v>
      </c>
      <c r="S35" s="232">
        <f t="shared" si="10"/>
        <v>0</v>
      </c>
      <c r="T35" s="233"/>
      <c r="U35" s="230">
        <v>0</v>
      </c>
      <c r="V35" s="230">
        <v>0</v>
      </c>
      <c r="W35" s="232" t="str">
        <f t="shared" si="11"/>
        <v>NA</v>
      </c>
      <c r="X35" s="892"/>
      <c r="Y35" s="983" t="s">
        <v>596</v>
      </c>
      <c r="Z35" s="234" t="s">
        <v>514</v>
      </c>
      <c r="AA35" s="57" t="s">
        <v>120</v>
      </c>
      <c r="AG35" s="1">
        <f t="shared" si="12"/>
        <v>300</v>
      </c>
      <c r="AK35" s="1">
        <f t="shared" si="13"/>
        <v>0</v>
      </c>
    </row>
    <row r="36" spans="1:37" ht="13.5" customHeight="1" x14ac:dyDescent="0.35">
      <c r="A36" s="42">
        <v>34</v>
      </c>
      <c r="C36" s="233" t="s">
        <v>262</v>
      </c>
      <c r="D36" s="241"/>
      <c r="E36" s="242"/>
      <c r="F36" s="243"/>
      <c r="G36" s="243"/>
      <c r="H36" s="243"/>
      <c r="I36" s="243"/>
      <c r="J36" s="243"/>
      <c r="K36" s="243"/>
      <c r="L36" s="243"/>
      <c r="M36" s="243"/>
      <c r="N36" s="243"/>
      <c r="O36" s="233"/>
      <c r="P36" s="230">
        <v>200</v>
      </c>
      <c r="Q36" s="230">
        <v>200</v>
      </c>
      <c r="R36" s="231">
        <f t="shared" si="9"/>
        <v>0</v>
      </c>
      <c r="S36" s="232">
        <f t="shared" si="10"/>
        <v>0</v>
      </c>
      <c r="T36" s="233"/>
      <c r="U36" s="230">
        <v>62.06</v>
      </c>
      <c r="V36" s="230">
        <v>200</v>
      </c>
      <c r="W36" s="232">
        <f t="shared" si="11"/>
        <v>-0.68969999999999998</v>
      </c>
      <c r="X36" s="892"/>
      <c r="Y36" s="892"/>
      <c r="Z36" s="841" t="s">
        <v>515</v>
      </c>
      <c r="AA36" s="61" t="s">
        <v>121</v>
      </c>
      <c r="AG36" s="1">
        <f t="shared" si="12"/>
        <v>200</v>
      </c>
      <c r="AK36" s="1">
        <f t="shared" si="13"/>
        <v>62.06</v>
      </c>
    </row>
    <row r="37" spans="1:37" ht="13.5" customHeight="1" x14ac:dyDescent="0.35">
      <c r="C37" s="233" t="s">
        <v>103</v>
      </c>
      <c r="D37" s="241"/>
      <c r="E37" s="242"/>
      <c r="F37" s="243"/>
      <c r="G37" s="243"/>
      <c r="H37" s="243"/>
      <c r="I37" s="243"/>
      <c r="J37" s="243"/>
      <c r="K37" s="243"/>
      <c r="L37" s="243"/>
      <c r="M37" s="243"/>
      <c r="N37" s="243"/>
      <c r="O37" s="233"/>
      <c r="P37" s="230">
        <v>800</v>
      </c>
      <c r="Q37" s="230">
        <v>400</v>
      </c>
      <c r="R37" s="231">
        <f t="shared" si="9"/>
        <v>400</v>
      </c>
      <c r="S37" s="232">
        <f>IF(Q37=0,"NA",(+P37-Q37)/Q37)</f>
        <v>1</v>
      </c>
      <c r="T37" s="233"/>
      <c r="U37" s="230">
        <v>-120</v>
      </c>
      <c r="V37" s="230">
        <v>299.97000000000003</v>
      </c>
      <c r="W37" s="232">
        <f>IF(V37=0,"NA",(+U37-V37)/V37)</f>
        <v>-1.4000400040004</v>
      </c>
      <c r="X37" s="892" t="s">
        <v>802</v>
      </c>
      <c r="Y37" s="892"/>
      <c r="Z37" s="837" t="s">
        <v>509</v>
      </c>
      <c r="AA37" s="61" t="s">
        <v>122</v>
      </c>
      <c r="AG37" s="1">
        <f t="shared" si="12"/>
        <v>800</v>
      </c>
      <c r="AK37" s="1">
        <f t="shared" si="13"/>
        <v>-120</v>
      </c>
    </row>
    <row r="38" spans="1:37" s="2" customFormat="1" x14ac:dyDescent="0.35">
      <c r="A38" s="42">
        <v>36</v>
      </c>
      <c r="B38" s="19" t="s">
        <v>15</v>
      </c>
      <c r="C38" s="19"/>
      <c r="D38" s="36"/>
      <c r="E38" s="80"/>
      <c r="F38" s="80"/>
      <c r="G38" s="80"/>
      <c r="H38" s="80"/>
      <c r="I38" s="80"/>
      <c r="J38" s="80"/>
      <c r="K38" s="80"/>
      <c r="L38" s="80"/>
      <c r="M38" s="80"/>
      <c r="N38" s="80"/>
      <c r="O38" s="36"/>
      <c r="P38" s="19">
        <f>SUM(P32:P37)</f>
        <v>3550</v>
      </c>
      <c r="Q38" s="36">
        <f>SUM(Q32:Q37)</f>
        <v>3150</v>
      </c>
      <c r="R38" s="36">
        <f>SUM(R32:R37)</f>
        <v>400</v>
      </c>
      <c r="S38" s="20">
        <f t="shared" si="10"/>
        <v>0.12698412698412698</v>
      </c>
      <c r="U38" s="36">
        <f>SUM(U32:U37)</f>
        <v>578.58999999999992</v>
      </c>
      <c r="V38" s="36">
        <f>SUM(V32:V37)</f>
        <v>2333.3000000000002</v>
      </c>
      <c r="W38" s="20">
        <f t="shared" si="11"/>
        <v>-0.75202931470449585</v>
      </c>
      <c r="X38" s="903"/>
      <c r="Y38" s="903"/>
      <c r="Z38" s="230"/>
      <c r="AA38" s="60"/>
    </row>
    <row r="39" spans="1:37" ht="19.5" customHeight="1" x14ac:dyDescent="0.35">
      <c r="A39" s="42">
        <v>40</v>
      </c>
      <c r="B39" s="838" t="s">
        <v>140</v>
      </c>
      <c r="S39" s="4"/>
      <c r="Z39" s="68"/>
      <c r="AA39" s="58"/>
    </row>
    <row r="40" spans="1:37" ht="13.5" customHeight="1" x14ac:dyDescent="0.35">
      <c r="A40" s="42">
        <v>41</v>
      </c>
      <c r="C40" s="373" t="s">
        <v>16</v>
      </c>
      <c r="D40" s="374"/>
      <c r="E40" s="375"/>
      <c r="F40" s="376"/>
      <c r="G40" s="376"/>
      <c r="H40" s="376"/>
      <c r="I40" s="376"/>
      <c r="J40" s="376"/>
      <c r="K40" s="376"/>
      <c r="L40" s="376"/>
      <c r="M40" s="376"/>
      <c r="N40" s="376"/>
      <c r="O40" s="373"/>
      <c r="P40" s="381">
        <v>3000</v>
      </c>
      <c r="Q40" s="381">
        <v>3000</v>
      </c>
      <c r="R40" s="378">
        <f>+P40-Q40</f>
        <v>0</v>
      </c>
      <c r="S40" s="379">
        <f>IF(Q40=0,"NA",(+P40-Q40)/Q40)</f>
        <v>0</v>
      </c>
      <c r="T40" s="373"/>
      <c r="U40" s="377">
        <v>1384.13</v>
      </c>
      <c r="V40" s="377">
        <v>2250</v>
      </c>
      <c r="W40" s="379">
        <f>IF(V40=0,"NA",(+U40-V40)/V40)</f>
        <v>-0.38483111111111107</v>
      </c>
      <c r="X40" s="896"/>
      <c r="Y40" s="985" t="s">
        <v>627</v>
      </c>
      <c r="Z40" s="510"/>
      <c r="AA40" s="61" t="s">
        <v>134</v>
      </c>
      <c r="AF40" s="1">
        <f>+$P40</f>
        <v>3000</v>
      </c>
      <c r="AJ40" s="1">
        <f>+$U40</f>
        <v>1384.13</v>
      </c>
    </row>
    <row r="41" spans="1:37" ht="13.5" customHeight="1" x14ac:dyDescent="0.35">
      <c r="A41" s="42">
        <v>44</v>
      </c>
      <c r="C41" s="228" t="s">
        <v>18</v>
      </c>
      <c r="D41" s="238"/>
      <c r="E41" s="239"/>
      <c r="F41" s="240"/>
      <c r="G41" s="240"/>
      <c r="H41" s="240"/>
      <c r="I41" s="240"/>
      <c r="J41" s="240"/>
      <c r="K41" s="240"/>
      <c r="L41" s="240"/>
      <c r="M41" s="240"/>
      <c r="N41" s="240"/>
      <c r="O41" s="228"/>
      <c r="P41" s="225">
        <v>200</v>
      </c>
      <c r="Q41" s="225">
        <v>200</v>
      </c>
      <c r="R41" s="226">
        <f>+P41-Q41</f>
        <v>0</v>
      </c>
      <c r="S41" s="227">
        <f>IF(Q41=0,"NA",(+P41-Q41)/Q41)</f>
        <v>0</v>
      </c>
      <c r="T41" s="228"/>
      <c r="U41" s="225">
        <v>-166</v>
      </c>
      <c r="V41" s="225">
        <v>150</v>
      </c>
      <c r="W41" s="227">
        <f>IF(V41=0,"NA",(+U41-V41)/V41)</f>
        <v>-2.1066666666666665</v>
      </c>
      <c r="X41" s="897"/>
      <c r="Y41" s="897"/>
      <c r="Z41" s="604"/>
      <c r="AA41" s="58"/>
      <c r="AF41" s="1">
        <f>+$P41</f>
        <v>200</v>
      </c>
      <c r="AJ41" s="1">
        <f>+$U41</f>
        <v>-166</v>
      </c>
    </row>
    <row r="42" spans="1:37" s="2" customFormat="1" x14ac:dyDescent="0.35">
      <c r="A42" s="42">
        <v>45</v>
      </c>
      <c r="B42" s="19" t="s">
        <v>141</v>
      </c>
      <c r="C42" s="19"/>
      <c r="D42" s="36"/>
      <c r="E42" s="80"/>
      <c r="F42" s="80"/>
      <c r="G42" s="80"/>
      <c r="H42" s="80"/>
      <c r="I42" s="80"/>
      <c r="J42" s="80"/>
      <c r="K42" s="80"/>
      <c r="L42" s="80"/>
      <c r="M42" s="80"/>
      <c r="N42" s="80"/>
      <c r="O42" s="36"/>
      <c r="P42" s="19">
        <f>SUM(P40:P41)</f>
        <v>3200</v>
      </c>
      <c r="Q42" s="36">
        <f>SUM(Q40:Q41)</f>
        <v>3200</v>
      </c>
      <c r="R42" s="36">
        <f>SUM(R40:R41)</f>
        <v>0</v>
      </c>
      <c r="S42" s="20">
        <f>IF(Q42=0,"NA",(+P42-Q42)/Q42)</f>
        <v>0</v>
      </c>
      <c r="U42" s="36">
        <f>SUM(U40:U41)</f>
        <v>1218.1300000000001</v>
      </c>
      <c r="V42" s="36">
        <f>SUM(V40:V41)</f>
        <v>2400</v>
      </c>
      <c r="W42" s="20">
        <f>IF(V42=0,"NA",(+U42-V42)/V42)</f>
        <v>-0.4924458333333333</v>
      </c>
      <c r="X42" s="903"/>
      <c r="Y42" s="903"/>
      <c r="Z42" s="68"/>
      <c r="AA42" s="58"/>
    </row>
    <row r="43" spans="1:37" ht="6.75" customHeight="1" x14ac:dyDescent="0.35">
      <c r="A43" s="42">
        <v>46</v>
      </c>
      <c r="D43" s="1"/>
      <c r="E43" s="38"/>
      <c r="S43" s="4"/>
      <c r="Z43" s="68"/>
      <c r="AA43" s="58"/>
    </row>
    <row r="44" spans="1:37" s="2" customFormat="1" ht="14.5" customHeight="1" x14ac:dyDescent="0.35">
      <c r="A44" s="42">
        <v>51</v>
      </c>
      <c r="B44" s="19" t="s">
        <v>19</v>
      </c>
      <c r="C44" s="19"/>
      <c r="D44" s="36"/>
      <c r="E44" s="80"/>
      <c r="F44" s="80"/>
      <c r="G44" s="80"/>
      <c r="H44" s="80"/>
      <c r="I44" s="80"/>
      <c r="J44" s="80"/>
      <c r="K44" s="80"/>
      <c r="L44" s="80"/>
      <c r="M44" s="80"/>
      <c r="N44" s="80"/>
      <c r="O44" s="36"/>
      <c r="P44" s="47">
        <v>3000</v>
      </c>
      <c r="Q44" s="47">
        <v>3000</v>
      </c>
      <c r="R44" s="44">
        <f>+P44-Q44</f>
        <v>0</v>
      </c>
      <c r="S44" s="20">
        <f>IF(Q44=0,"NA",(+P44-Q44)/Q44)</f>
        <v>0</v>
      </c>
      <c r="U44" s="47">
        <v>437.5</v>
      </c>
      <c r="V44" s="47">
        <v>2250</v>
      </c>
      <c r="W44" s="20">
        <f>IF(V44=0,"NA",(+U44-V44)/V44)</f>
        <v>-0.80555555555555558</v>
      </c>
      <c r="X44" s="1161"/>
      <c r="Y44" s="993" t="s">
        <v>605</v>
      </c>
      <c r="Z44" s="510" t="s">
        <v>464</v>
      </c>
      <c r="AA44" s="57"/>
      <c r="AG44" s="1">
        <f>+$P44</f>
        <v>3000</v>
      </c>
      <c r="AK44" s="1">
        <f>+$U44</f>
        <v>437.5</v>
      </c>
    </row>
    <row r="45" spans="1:37" ht="8" customHeight="1" x14ac:dyDescent="0.35">
      <c r="A45" s="42">
        <v>53</v>
      </c>
      <c r="B45" s="838"/>
      <c r="S45" s="4"/>
      <c r="Z45" s="68"/>
      <c r="AA45" s="58"/>
    </row>
    <row r="46" spans="1:37" hidden="1" x14ac:dyDescent="0.35">
      <c r="A46" s="42">
        <v>54</v>
      </c>
      <c r="C46" s="373" t="s">
        <v>91</v>
      </c>
      <c r="D46" s="374"/>
      <c r="E46" s="375"/>
      <c r="F46" s="376"/>
      <c r="G46" s="376"/>
      <c r="H46" s="376"/>
      <c r="I46" s="376"/>
      <c r="J46" s="376"/>
      <c r="K46" s="376"/>
      <c r="L46" s="376"/>
      <c r="M46" s="376"/>
      <c r="N46" s="376"/>
      <c r="O46" s="373"/>
      <c r="P46" s="377">
        <v>400</v>
      </c>
      <c r="Q46" s="377">
        <v>400</v>
      </c>
      <c r="R46" s="378">
        <f>+P46-Q46</f>
        <v>0</v>
      </c>
      <c r="S46" s="379">
        <f>IF(Q46=0,"NA",(+P46-Q46)/Q46)</f>
        <v>0</v>
      </c>
      <c r="T46" s="373"/>
      <c r="U46" s="377">
        <v>419.51</v>
      </c>
      <c r="V46" s="377">
        <v>299.97000000000003</v>
      </c>
      <c r="W46" s="379">
        <f>IF(V46=0,"NA",(+U46-V46)/V46)</f>
        <v>0.39850651731839837</v>
      </c>
      <c r="X46" s="373" t="s">
        <v>751</v>
      </c>
      <c r="Y46" s="986" t="s">
        <v>626</v>
      </c>
      <c r="Z46" s="752" t="s">
        <v>511</v>
      </c>
      <c r="AA46" s="57"/>
      <c r="AF46" s="1">
        <f>+$P46</f>
        <v>400</v>
      </c>
      <c r="AJ46" s="1">
        <f>+$U46</f>
        <v>419.51</v>
      </c>
    </row>
    <row r="47" spans="1:37" s="2" customFormat="1" x14ac:dyDescent="0.35">
      <c r="A47" s="42">
        <v>56</v>
      </c>
      <c r="B47" s="19" t="s">
        <v>89</v>
      </c>
      <c r="C47" s="19"/>
      <c r="D47" s="36"/>
      <c r="E47" s="80"/>
      <c r="F47" s="80"/>
      <c r="G47" s="80"/>
      <c r="H47" s="80"/>
      <c r="I47" s="80"/>
      <c r="J47" s="80"/>
      <c r="K47" s="80"/>
      <c r="L47" s="80"/>
      <c r="M47" s="80"/>
      <c r="N47" s="80"/>
      <c r="O47" s="36"/>
      <c r="P47" s="19">
        <f>SUM(P46:P46)</f>
        <v>400</v>
      </c>
      <c r="Q47" s="36">
        <f>SUM(Q46:Q46)</f>
        <v>400</v>
      </c>
      <c r="R47" s="36">
        <f>SUM(R46:R46)</f>
        <v>0</v>
      </c>
      <c r="S47" s="20">
        <f>IF(Q47=0,"NA",(+P47-Q47)/Q47)</f>
        <v>0</v>
      </c>
      <c r="U47" s="36">
        <f>SUM(U46:U46)</f>
        <v>419.51</v>
      </c>
      <c r="V47" s="36">
        <f>SUM(V46:V46)</f>
        <v>299.97000000000003</v>
      </c>
      <c r="W47" s="20">
        <f>IF(V47=0,"NA",(+U47-V47)/V47)</f>
        <v>0.39850651731839837</v>
      </c>
      <c r="X47" s="903"/>
      <c r="Y47" s="903"/>
      <c r="Z47" s="69"/>
      <c r="AA47" s="60"/>
    </row>
    <row r="48" spans="1:37" ht="5.25" customHeight="1" x14ac:dyDescent="0.35">
      <c r="A48" s="42">
        <v>57</v>
      </c>
      <c r="S48" s="4"/>
      <c r="Z48" s="68"/>
      <c r="AA48" s="58"/>
    </row>
    <row r="49" spans="1:38" ht="14" customHeight="1" x14ac:dyDescent="0.35">
      <c r="A49" s="42">
        <v>58</v>
      </c>
      <c r="B49" s="36" t="s">
        <v>430</v>
      </c>
      <c r="C49" s="21"/>
      <c r="D49" s="21"/>
      <c r="E49" s="81"/>
      <c r="F49" s="81"/>
      <c r="G49" s="81"/>
      <c r="H49" s="81"/>
      <c r="I49" s="81"/>
      <c r="J49" s="81"/>
      <c r="K49" s="81"/>
      <c r="L49" s="81"/>
      <c r="M49" s="81"/>
      <c r="N49" s="81"/>
      <c r="O49" s="21"/>
      <c r="P49" s="52">
        <v>200</v>
      </c>
      <c r="Q49" s="52">
        <v>200</v>
      </c>
      <c r="R49" s="44">
        <f>+P49-Q49</f>
        <v>0</v>
      </c>
      <c r="S49" s="20">
        <f>IF(Q49=0,"NA",(+P49-Q49)/Q49)</f>
        <v>0</v>
      </c>
      <c r="U49" s="52">
        <v>0</v>
      </c>
      <c r="V49" s="52">
        <v>150.03</v>
      </c>
      <c r="W49" s="20">
        <f>IF(V49=0,"NA",(+U49-V49)/V49)</f>
        <v>-1</v>
      </c>
      <c r="X49" s="1399" t="s">
        <v>752</v>
      </c>
      <c r="Y49" s="991" t="s">
        <v>594</v>
      </c>
      <c r="Z49" s="380" t="s">
        <v>510</v>
      </c>
      <c r="AA49" s="57" t="s">
        <v>113</v>
      </c>
      <c r="AH49" s="1">
        <f>+$P49</f>
        <v>200</v>
      </c>
      <c r="AL49" s="1">
        <f>+$U49</f>
        <v>0</v>
      </c>
    </row>
    <row r="50" spans="1:38" ht="19.5" customHeight="1" x14ac:dyDescent="0.35">
      <c r="A50" s="42">
        <v>60</v>
      </c>
      <c r="B50" s="838" t="s">
        <v>21</v>
      </c>
      <c r="S50" s="4"/>
      <c r="Z50" s="68"/>
      <c r="AA50" s="58"/>
    </row>
    <row r="51" spans="1:38" ht="13.5" customHeight="1" x14ac:dyDescent="0.35">
      <c r="A51" s="42">
        <v>61</v>
      </c>
      <c r="C51" s="223" t="s">
        <v>22</v>
      </c>
      <c r="D51" s="235"/>
      <c r="E51" s="236"/>
      <c r="F51" s="237"/>
      <c r="G51" s="237"/>
      <c r="H51" s="237"/>
      <c r="I51" s="237"/>
      <c r="J51" s="237"/>
      <c r="K51" s="237"/>
      <c r="L51" s="237"/>
      <c r="M51" s="237"/>
      <c r="N51" s="237"/>
      <c r="O51" s="223"/>
      <c r="P51" s="247">
        <v>200</v>
      </c>
      <c r="Q51" s="247">
        <v>200</v>
      </c>
      <c r="R51" s="221">
        <f t="shared" ref="R51:R57" si="14">+P51-Q51</f>
        <v>0</v>
      </c>
      <c r="S51" s="222">
        <f t="shared" ref="S51:S58" si="15">IF(Q51=0,"NA",(+P51-Q51)/Q51)</f>
        <v>0</v>
      </c>
      <c r="T51" s="223"/>
      <c r="U51" s="220">
        <v>0</v>
      </c>
      <c r="V51" s="220">
        <v>0</v>
      </c>
      <c r="W51" s="222" t="str">
        <f t="shared" ref="W51:W58" si="16">IF(V51=0,"NA",(+U51-V51)/V51)</f>
        <v>NA</v>
      </c>
      <c r="X51" s="899"/>
      <c r="Y51" s="899"/>
      <c r="Z51" s="224" t="s">
        <v>454</v>
      </c>
      <c r="AA51" s="58"/>
      <c r="AF51" s="1">
        <f>+$P51</f>
        <v>200</v>
      </c>
      <c r="AJ51" s="1">
        <f>+$U51</f>
        <v>0</v>
      </c>
    </row>
    <row r="52" spans="1:38" ht="13.5" customHeight="1" x14ac:dyDescent="0.35">
      <c r="C52" s="373" t="s">
        <v>25</v>
      </c>
      <c r="D52" s="374"/>
      <c r="E52" s="375"/>
      <c r="F52" s="376"/>
      <c r="G52" s="376"/>
      <c r="H52" s="376"/>
      <c r="I52" s="376"/>
      <c r="J52" s="376"/>
      <c r="K52" s="376"/>
      <c r="L52" s="376"/>
      <c r="M52" s="376"/>
      <c r="N52" s="376"/>
      <c r="O52" s="373"/>
      <c r="P52" s="247">
        <v>400</v>
      </c>
      <c r="Q52" s="247">
        <v>0</v>
      </c>
      <c r="R52" s="221">
        <f t="shared" ref="R52" si="17">+P52-Q52</f>
        <v>400</v>
      </c>
      <c r="S52" s="222" t="str">
        <f t="shared" ref="S52" si="18">IF(Q52=0,"NA",(+P52-Q52)/Q52)</f>
        <v>NA</v>
      </c>
      <c r="T52" s="223"/>
      <c r="U52" s="220">
        <v>0</v>
      </c>
      <c r="V52" s="220">
        <v>0</v>
      </c>
      <c r="W52" s="222" t="str">
        <f t="shared" ref="W52" si="19">IF(V52=0,"NA",(+U52-V52)/V52)</f>
        <v>NA</v>
      </c>
      <c r="X52" s="899" t="s">
        <v>805</v>
      </c>
      <c r="Y52" s="896"/>
      <c r="Z52" s="380"/>
      <c r="AA52" s="58"/>
    </row>
    <row r="53" spans="1:38" ht="13.5" customHeight="1" x14ac:dyDescent="0.35">
      <c r="C53" s="228" t="s">
        <v>809</v>
      </c>
      <c r="D53" s="238"/>
      <c r="E53" s="375"/>
      <c r="F53" s="376"/>
      <c r="G53" s="376"/>
      <c r="H53" s="376"/>
      <c r="I53" s="376"/>
      <c r="J53" s="376"/>
      <c r="K53" s="376"/>
      <c r="L53" s="376"/>
      <c r="M53" s="376"/>
      <c r="N53" s="376"/>
      <c r="O53" s="373"/>
      <c r="P53" s="247">
        <v>500</v>
      </c>
      <c r="Q53" s="247">
        <v>0</v>
      </c>
      <c r="R53" s="221">
        <f t="shared" ref="R53" si="20">+P53-Q53</f>
        <v>500</v>
      </c>
      <c r="S53" s="222" t="str">
        <f t="shared" ref="S53" si="21">IF(Q53=0,"NA",(+P53-Q53)/Q53)</f>
        <v>NA</v>
      </c>
      <c r="T53" s="223"/>
      <c r="U53" s="220">
        <v>0</v>
      </c>
      <c r="V53" s="220">
        <v>0</v>
      </c>
      <c r="W53" s="222" t="str">
        <f t="shared" ref="W53" si="22">IF(V53=0,"NA",(+U53-V53)/V53)</f>
        <v>NA</v>
      </c>
      <c r="X53" s="899" t="s">
        <v>810</v>
      </c>
      <c r="Y53" s="896"/>
      <c r="Z53" s="380"/>
      <c r="AA53" s="58"/>
    </row>
    <row r="54" spans="1:38" ht="13.5" customHeight="1" x14ac:dyDescent="0.35">
      <c r="C54" s="233" t="s">
        <v>23</v>
      </c>
      <c r="D54" s="241"/>
      <c r="E54" s="242"/>
      <c r="F54" s="243"/>
      <c r="G54" s="243"/>
      <c r="H54" s="243"/>
      <c r="I54" s="243"/>
      <c r="J54" s="243"/>
      <c r="K54" s="243"/>
      <c r="L54" s="243"/>
      <c r="M54" s="243"/>
      <c r="N54" s="243"/>
      <c r="O54" s="233"/>
      <c r="P54" s="246">
        <v>300</v>
      </c>
      <c r="Q54" s="246">
        <v>300</v>
      </c>
      <c r="R54" s="231">
        <f>+P54-Q54</f>
        <v>0</v>
      </c>
      <c r="S54" s="232">
        <f>IF(Q54=0,"NA",(+P54-Q54)/Q54)</f>
        <v>0</v>
      </c>
      <c r="T54" s="233"/>
      <c r="U54" s="230">
        <v>0</v>
      </c>
      <c r="V54" s="230">
        <v>0</v>
      </c>
      <c r="W54" s="232" t="str">
        <f>IF(V54=0,"NA",(+U54-V54)/V54)</f>
        <v>NA</v>
      </c>
      <c r="X54" s="892"/>
      <c r="Y54" s="892"/>
      <c r="Z54" s="753" t="s">
        <v>453</v>
      </c>
      <c r="AA54" s="58"/>
    </row>
    <row r="55" spans="1:38" ht="13.5" customHeight="1" x14ac:dyDescent="0.35">
      <c r="A55" s="42">
        <v>63</v>
      </c>
      <c r="C55" s="233" t="s">
        <v>24</v>
      </c>
      <c r="D55" s="241"/>
      <c r="E55" s="242"/>
      <c r="F55" s="243"/>
      <c r="G55" s="243"/>
      <c r="H55" s="243"/>
      <c r="I55" s="243"/>
      <c r="J55" s="243"/>
      <c r="K55" s="243"/>
      <c r="L55" s="243"/>
      <c r="M55" s="243"/>
      <c r="N55" s="243"/>
      <c r="O55" s="233"/>
      <c r="P55" s="246">
        <v>500</v>
      </c>
      <c r="Q55" s="246">
        <v>1000</v>
      </c>
      <c r="R55" s="231">
        <f t="shared" si="14"/>
        <v>-500</v>
      </c>
      <c r="S55" s="232">
        <f t="shared" si="15"/>
        <v>-0.5</v>
      </c>
      <c r="T55" s="233"/>
      <c r="U55" s="230">
        <v>0</v>
      </c>
      <c r="V55" s="230">
        <v>1000</v>
      </c>
      <c r="W55" s="232">
        <f t="shared" si="16"/>
        <v>-1</v>
      </c>
      <c r="X55" s="892" t="s">
        <v>806</v>
      </c>
      <c r="Y55" s="892" t="s">
        <v>606</v>
      </c>
      <c r="Z55" s="234" t="s">
        <v>516</v>
      </c>
      <c r="AA55" s="62"/>
      <c r="AH55" s="1">
        <f>+$P55</f>
        <v>500</v>
      </c>
      <c r="AK55" s="1">
        <f t="shared" ref="AJ55:AK57" si="23">+$U55</f>
        <v>0</v>
      </c>
    </row>
    <row r="56" spans="1:38" ht="27.5" customHeight="1" x14ac:dyDescent="0.35">
      <c r="C56" s="228" t="s">
        <v>266</v>
      </c>
      <c r="D56" s="238"/>
      <c r="E56" s="239"/>
      <c r="F56" s="240"/>
      <c r="G56" s="240"/>
      <c r="H56" s="240"/>
      <c r="I56" s="240"/>
      <c r="J56" s="240"/>
      <c r="K56" s="240"/>
      <c r="L56" s="240"/>
      <c r="M56" s="240"/>
      <c r="N56" s="240"/>
      <c r="O56" s="228"/>
      <c r="P56" s="245">
        <v>700</v>
      </c>
      <c r="Q56" s="245">
        <v>200</v>
      </c>
      <c r="R56" s="226">
        <f>+P56-Q56</f>
        <v>500</v>
      </c>
      <c r="S56" s="227">
        <f>IF(Q56=0,"NA",(+P56-Q56)/Q56)</f>
        <v>2.5</v>
      </c>
      <c r="T56" s="228"/>
      <c r="U56" s="225">
        <v>602.02</v>
      </c>
      <c r="V56" s="225">
        <v>150.03</v>
      </c>
      <c r="W56" s="227">
        <f>IF(V56=0,"NA",(+U56-V56)/V56)</f>
        <v>3.0126641338398987</v>
      </c>
      <c r="X56" s="1398" t="s">
        <v>814</v>
      </c>
      <c r="Y56" s="897" t="s">
        <v>633</v>
      </c>
      <c r="Z56" s="229"/>
      <c r="AA56" s="61"/>
      <c r="AF56" s="1">
        <f>+$P56</f>
        <v>700</v>
      </c>
      <c r="AJ56" s="1">
        <f t="shared" si="23"/>
        <v>602.02</v>
      </c>
    </row>
    <row r="57" spans="1:38" ht="13.5" customHeight="1" x14ac:dyDescent="0.35">
      <c r="A57" s="42">
        <v>65</v>
      </c>
      <c r="C57" s="233" t="s">
        <v>111</v>
      </c>
      <c r="D57" s="241"/>
      <c r="E57" s="242"/>
      <c r="F57" s="243"/>
      <c r="G57" s="243"/>
      <c r="H57" s="243"/>
      <c r="I57" s="243"/>
      <c r="J57" s="243"/>
      <c r="K57" s="243"/>
      <c r="L57" s="243"/>
      <c r="M57" s="243"/>
      <c r="N57" s="243"/>
      <c r="O57" s="233"/>
      <c r="P57" s="246">
        <f>1575-91</f>
        <v>1484</v>
      </c>
      <c r="Q57" s="246">
        <f>1575-91</f>
        <v>1484</v>
      </c>
      <c r="R57" s="231">
        <f t="shared" si="14"/>
        <v>0</v>
      </c>
      <c r="S57" s="232">
        <f t="shared" si="15"/>
        <v>0</v>
      </c>
      <c r="T57" s="233"/>
      <c r="U57" s="246">
        <v>60</v>
      </c>
      <c r="V57" s="246">
        <v>1113.03</v>
      </c>
      <c r="W57" s="232">
        <f t="shared" si="16"/>
        <v>-0.94609309722109913</v>
      </c>
      <c r="X57" s="896"/>
      <c r="Y57" s="1023"/>
      <c r="Z57" s="380" t="s">
        <v>531</v>
      </c>
      <c r="AA57" s="57" t="s">
        <v>112</v>
      </c>
      <c r="AF57" s="1">
        <f>+$P57</f>
        <v>1484</v>
      </c>
      <c r="AJ57" s="1">
        <f t="shared" si="23"/>
        <v>60</v>
      </c>
    </row>
    <row r="58" spans="1:38" s="2" customFormat="1" x14ac:dyDescent="0.35">
      <c r="A58" s="42">
        <v>66</v>
      </c>
      <c r="B58" s="19" t="s">
        <v>26</v>
      </c>
      <c r="C58" s="19"/>
      <c r="D58" s="36"/>
      <c r="E58" s="80"/>
      <c r="F58" s="80"/>
      <c r="G58" s="80"/>
      <c r="H58" s="80"/>
      <c r="I58" s="80"/>
      <c r="J58" s="80"/>
      <c r="K58" s="80"/>
      <c r="L58" s="80"/>
      <c r="M58" s="80"/>
      <c r="N58" s="80"/>
      <c r="O58" s="36"/>
      <c r="P58" s="19">
        <f>SUM(P51:P57)</f>
        <v>4084</v>
      </c>
      <c r="Q58" s="36">
        <f>SUM(Q51:Q57)</f>
        <v>3184</v>
      </c>
      <c r="R58" s="36">
        <f>SUM(R51:R57)</f>
        <v>900</v>
      </c>
      <c r="S58" s="20">
        <f t="shared" si="15"/>
        <v>0.28266331658291455</v>
      </c>
      <c r="U58" s="36">
        <f>SUM(U51:U57)</f>
        <v>662.02</v>
      </c>
      <c r="V58" s="36">
        <f>SUM(V51:V57)</f>
        <v>2263.06</v>
      </c>
      <c r="W58" s="20">
        <f t="shared" si="16"/>
        <v>-0.70746688112555567</v>
      </c>
      <c r="X58" s="903"/>
      <c r="Y58" s="903"/>
      <c r="Z58" s="69"/>
      <c r="AA58" s="60"/>
    </row>
    <row r="59" spans="1:38" ht="19.5" customHeight="1" x14ac:dyDescent="0.35">
      <c r="A59" s="42">
        <v>68</v>
      </c>
      <c r="B59" s="838" t="s">
        <v>27</v>
      </c>
      <c r="S59" s="4"/>
      <c r="Z59" s="68"/>
      <c r="AA59" s="58"/>
      <c r="AF59" s="523">
        <v>0.33300000000000002</v>
      </c>
      <c r="AG59" s="523">
        <v>0.33300000000000002</v>
      </c>
      <c r="AH59" s="523">
        <v>0.33400000000000002</v>
      </c>
    </row>
    <row r="60" spans="1:38" ht="13.5" customHeight="1" x14ac:dyDescent="0.35">
      <c r="A60" s="42">
        <v>69</v>
      </c>
      <c r="C60" s="223" t="s">
        <v>28</v>
      </c>
      <c r="D60" s="235"/>
      <c r="E60" s="236"/>
      <c r="F60" s="237"/>
      <c r="G60" s="237"/>
      <c r="H60" s="237"/>
      <c r="I60" s="237"/>
      <c r="J60" s="237"/>
      <c r="K60" s="237"/>
      <c r="L60" s="237"/>
      <c r="M60" s="237"/>
      <c r="N60" s="237"/>
      <c r="O60" s="223"/>
      <c r="P60" s="247">
        <v>2000</v>
      </c>
      <c r="Q60" s="247">
        <v>2000</v>
      </c>
      <c r="R60" s="221">
        <f t="shared" ref="R60:R65" si="24">+P60-Q60</f>
        <v>0</v>
      </c>
      <c r="S60" s="222">
        <f t="shared" ref="S60:S69" si="25">IF(Q60=0,"NA",(+P60-Q60)/Q60)</f>
        <v>0</v>
      </c>
      <c r="T60" s="223"/>
      <c r="U60" s="220">
        <v>1404.8</v>
      </c>
      <c r="V60" s="220">
        <v>1500</v>
      </c>
      <c r="W60" s="222">
        <f t="shared" ref="W60:W69" si="26">IF(V60=0,"NA",(+U60-V60)/V60)</f>
        <v>-6.3466666666666699E-2</v>
      </c>
      <c r="X60" s="899"/>
      <c r="Y60" s="899"/>
      <c r="Z60" s="762" t="s">
        <v>458</v>
      </c>
      <c r="AA60" s="61" t="s">
        <v>277</v>
      </c>
      <c r="AF60" s="1">
        <f>+$P60*AF$59</f>
        <v>666</v>
      </c>
      <c r="AG60" s="1">
        <f t="shared" ref="AG60:AH65" si="27">+$P60*AG$59</f>
        <v>666</v>
      </c>
      <c r="AH60" s="1">
        <f t="shared" si="27"/>
        <v>668</v>
      </c>
      <c r="AJ60" s="1">
        <f t="shared" ref="AJ60:AJ65" si="28">+$U60</f>
        <v>1404.8</v>
      </c>
    </row>
    <row r="61" spans="1:38" ht="13.5" customHeight="1" x14ac:dyDescent="0.35">
      <c r="A61" s="42">
        <v>70</v>
      </c>
      <c r="C61" s="228" t="s">
        <v>29</v>
      </c>
      <c r="D61" s="238"/>
      <c r="E61" s="239"/>
      <c r="F61" s="240"/>
      <c r="G61" s="240"/>
      <c r="H61" s="240"/>
      <c r="I61" s="240"/>
      <c r="J61" s="240"/>
      <c r="K61" s="240"/>
      <c r="L61" s="240"/>
      <c r="M61" s="240"/>
      <c r="N61" s="240"/>
      <c r="O61" s="228"/>
      <c r="P61" s="225">
        <v>2000</v>
      </c>
      <c r="Q61" s="225">
        <v>2000</v>
      </c>
      <c r="R61" s="226">
        <f t="shared" si="24"/>
        <v>0</v>
      </c>
      <c r="S61" s="227">
        <f t="shared" si="25"/>
        <v>0</v>
      </c>
      <c r="T61" s="228"/>
      <c r="U61" s="225">
        <v>1290</v>
      </c>
      <c r="V61" s="225">
        <v>1500</v>
      </c>
      <c r="W61" s="227">
        <f t="shared" si="26"/>
        <v>-0.14000000000000001</v>
      </c>
      <c r="X61" s="899"/>
      <c r="Y61" s="986" t="s">
        <v>598</v>
      </c>
      <c r="Z61" s="762" t="s">
        <v>458</v>
      </c>
      <c r="AA61" s="61" t="s">
        <v>112</v>
      </c>
      <c r="AF61" s="1">
        <f>+$P61*AF$59</f>
        <v>666</v>
      </c>
      <c r="AG61" s="1">
        <f t="shared" si="27"/>
        <v>666</v>
      </c>
      <c r="AH61" s="1">
        <f t="shared" si="27"/>
        <v>668</v>
      </c>
      <c r="AJ61" s="1">
        <f t="shared" si="28"/>
        <v>1290</v>
      </c>
    </row>
    <row r="62" spans="1:38" ht="13.5" customHeight="1" x14ac:dyDescent="0.35">
      <c r="C62" s="228" t="s">
        <v>758</v>
      </c>
      <c r="D62" s="238"/>
      <c r="E62" s="239"/>
      <c r="F62" s="240"/>
      <c r="G62" s="240"/>
      <c r="H62" s="240"/>
      <c r="I62" s="240"/>
      <c r="J62" s="240"/>
      <c r="K62" s="240"/>
      <c r="L62" s="240"/>
      <c r="M62" s="240"/>
      <c r="N62" s="240"/>
      <c r="O62" s="228"/>
      <c r="P62" s="226">
        <f>+Technology!C16</f>
        <v>9500</v>
      </c>
      <c r="Q62" s="225">
        <v>0</v>
      </c>
      <c r="R62" s="226">
        <f t="shared" ref="R62" si="29">+P62-Q62</f>
        <v>9500</v>
      </c>
      <c r="S62" s="227" t="str">
        <f t="shared" ref="S62" si="30">IF(Q62=0,"NA",(+P62-Q62)/Q62)</f>
        <v>NA</v>
      </c>
      <c r="T62" s="228"/>
      <c r="U62" s="225">
        <v>0</v>
      </c>
      <c r="V62" s="225">
        <v>0</v>
      </c>
      <c r="W62" s="227" t="str">
        <f t="shared" ref="W62" si="31">IF(V62=0,"NA",(+U62-V62)/V62)</f>
        <v>NA</v>
      </c>
      <c r="X62" s="1400" t="s">
        <v>813</v>
      </c>
      <c r="Y62" s="985"/>
      <c r="Z62" s="510"/>
      <c r="AA62" s="61"/>
    </row>
    <row r="63" spans="1:38" ht="24.5" customHeight="1" x14ac:dyDescent="0.35">
      <c r="A63" s="42">
        <v>73</v>
      </c>
      <c r="C63" s="233" t="s">
        <v>30</v>
      </c>
      <c r="D63" s="241"/>
      <c r="E63" s="242"/>
      <c r="F63" s="243"/>
      <c r="G63" s="243"/>
      <c r="H63" s="243"/>
      <c r="I63" s="243"/>
      <c r="J63" s="243"/>
      <c r="K63" s="243"/>
      <c r="L63" s="243"/>
      <c r="M63" s="243"/>
      <c r="N63" s="243"/>
      <c r="O63" s="233"/>
      <c r="P63" s="275">
        <f>10800-Technology!C18+450</f>
        <v>7793.8</v>
      </c>
      <c r="Q63" s="246">
        <v>10800</v>
      </c>
      <c r="R63" s="231">
        <f t="shared" si="24"/>
        <v>-3006.2</v>
      </c>
      <c r="S63" s="232">
        <f t="shared" si="25"/>
        <v>-0.27835185185185185</v>
      </c>
      <c r="T63" s="233"/>
      <c r="U63" s="246">
        <v>10555.82</v>
      </c>
      <c r="V63" s="230">
        <v>8100</v>
      </c>
      <c r="W63" s="232">
        <f t="shared" si="26"/>
        <v>0.3031876543209876</v>
      </c>
      <c r="X63" s="890" t="s">
        <v>815</v>
      </c>
      <c r="Y63" s="983" t="s">
        <v>597</v>
      </c>
      <c r="Z63" s="603" t="s">
        <v>458</v>
      </c>
      <c r="AA63" s="61" t="s">
        <v>130</v>
      </c>
      <c r="AF63" s="1">
        <f>+$P63*AF$59</f>
        <v>2595.3354000000004</v>
      </c>
      <c r="AG63" s="1">
        <f t="shared" si="27"/>
        <v>2595.3354000000004</v>
      </c>
      <c r="AH63" s="1">
        <f t="shared" si="27"/>
        <v>2603.1292000000003</v>
      </c>
      <c r="AJ63" s="1">
        <f t="shared" si="28"/>
        <v>10555.82</v>
      </c>
    </row>
    <row r="64" spans="1:38" ht="13.5" customHeight="1" x14ac:dyDescent="0.35">
      <c r="A64" s="42">
        <v>74</v>
      </c>
      <c r="C64" s="228" t="s">
        <v>31</v>
      </c>
      <c r="D64" s="238"/>
      <c r="E64" s="239"/>
      <c r="F64" s="240"/>
      <c r="G64" s="240"/>
      <c r="H64" s="240"/>
      <c r="I64" s="240"/>
      <c r="J64" s="240"/>
      <c r="K64" s="240"/>
      <c r="L64" s="240"/>
      <c r="M64" s="240"/>
      <c r="N64" s="240"/>
      <c r="O64" s="228"/>
      <c r="P64" s="245">
        <f>700</f>
        <v>700</v>
      </c>
      <c r="Q64" s="245">
        <v>700</v>
      </c>
      <c r="R64" s="226">
        <f t="shared" si="24"/>
        <v>0</v>
      </c>
      <c r="S64" s="227">
        <f t="shared" si="25"/>
        <v>0</v>
      </c>
      <c r="T64" s="228"/>
      <c r="U64" s="225">
        <v>146.6</v>
      </c>
      <c r="V64" s="225">
        <v>524.97</v>
      </c>
      <c r="W64" s="227">
        <f t="shared" si="26"/>
        <v>-0.72074594738746978</v>
      </c>
      <c r="X64" s="897"/>
      <c r="Y64" s="984" t="s">
        <v>598</v>
      </c>
      <c r="Z64" s="604" t="s">
        <v>459</v>
      </c>
      <c r="AA64" s="58"/>
      <c r="AF64" s="1">
        <f>+$P64*AF$59</f>
        <v>233.10000000000002</v>
      </c>
      <c r="AG64" s="1">
        <f t="shared" si="27"/>
        <v>233.10000000000002</v>
      </c>
      <c r="AH64" s="1">
        <f t="shared" si="27"/>
        <v>233.8</v>
      </c>
      <c r="AJ64" s="1">
        <f t="shared" si="28"/>
        <v>146.6</v>
      </c>
    </row>
    <row r="65" spans="1:36" ht="13.5" customHeight="1" thickBot="1" x14ac:dyDescent="0.4">
      <c r="A65" s="42">
        <v>75</v>
      </c>
      <c r="C65" s="233" t="s">
        <v>32</v>
      </c>
      <c r="D65" s="241"/>
      <c r="E65" s="1205" t="s">
        <v>150</v>
      </c>
      <c r="F65" s="1206"/>
      <c r="G65" s="1206"/>
      <c r="H65" s="1206"/>
      <c r="I65" s="1206"/>
      <c r="J65" s="1206"/>
      <c r="K65" s="1206"/>
      <c r="L65" s="1206"/>
      <c r="M65" s="1207"/>
      <c r="N65" s="370"/>
      <c r="O65" s="233"/>
      <c r="P65" s="246">
        <v>2000</v>
      </c>
      <c r="Q65" s="246">
        <v>1700</v>
      </c>
      <c r="R65" s="231">
        <f t="shared" si="24"/>
        <v>300</v>
      </c>
      <c r="S65" s="232">
        <f t="shared" si="25"/>
        <v>0.17647058823529413</v>
      </c>
      <c r="T65" s="233"/>
      <c r="U65" s="230">
        <v>1671.67</v>
      </c>
      <c r="V65" s="230">
        <v>1275.03</v>
      </c>
      <c r="W65" s="232">
        <f t="shared" si="26"/>
        <v>0.31108287648133776</v>
      </c>
      <c r="X65" s="892" t="s">
        <v>807</v>
      </c>
      <c r="Y65" s="983" t="s">
        <v>598</v>
      </c>
      <c r="Z65" s="234" t="s">
        <v>517</v>
      </c>
      <c r="AA65" s="61" t="s">
        <v>123</v>
      </c>
      <c r="AF65" s="1">
        <f>+$P65*AF$59</f>
        <v>666</v>
      </c>
      <c r="AG65" s="1">
        <f t="shared" si="27"/>
        <v>666</v>
      </c>
      <c r="AH65" s="1">
        <f t="shared" si="27"/>
        <v>668</v>
      </c>
      <c r="AJ65" s="1">
        <f t="shared" si="28"/>
        <v>1671.67</v>
      </c>
    </row>
    <row r="66" spans="1:36" ht="13.5" customHeight="1" thickBot="1" x14ac:dyDescent="0.4">
      <c r="C66" s="233" t="s">
        <v>257</v>
      </c>
      <c r="D66" s="241"/>
      <c r="E66" s="242"/>
      <c r="F66" s="243"/>
      <c r="G66" s="243"/>
      <c r="H66" s="243"/>
      <c r="I66" s="243"/>
      <c r="J66" s="243"/>
      <c r="K66" s="243"/>
      <c r="L66" s="243"/>
      <c r="M66" s="243"/>
      <c r="N66" s="243"/>
      <c r="O66" s="233"/>
      <c r="P66" s="246">
        <f>1500-500</f>
        <v>1000</v>
      </c>
      <c r="Q66" s="246">
        <f>1500-500</f>
        <v>1000</v>
      </c>
      <c r="R66" s="231">
        <f>+P66-Q66</f>
        <v>0</v>
      </c>
      <c r="S66" s="232">
        <f>IF(Q66=0,"NA",(+P66-Q66)/Q66)</f>
        <v>0</v>
      </c>
      <c r="T66" s="233"/>
      <c r="U66" s="230">
        <v>0</v>
      </c>
      <c r="V66" s="230">
        <v>749.97</v>
      </c>
      <c r="W66" s="232">
        <f>IF(V66=0,"NA",(+U66-V66)/V66)</f>
        <v>-1</v>
      </c>
      <c r="X66" s="892"/>
      <c r="Y66" s="992" t="s">
        <v>671</v>
      </c>
      <c r="Z66" s="603" t="s">
        <v>529</v>
      </c>
      <c r="AA66" s="61"/>
    </row>
    <row r="67" spans="1:36" ht="14.5" hidden="1" customHeight="1" thickBot="1" x14ac:dyDescent="0.4">
      <c r="A67" s="42">
        <v>73</v>
      </c>
      <c r="D67" s="1"/>
      <c r="E67" s="1"/>
      <c r="F67" s="1"/>
      <c r="G67" s="1"/>
      <c r="H67" s="1"/>
      <c r="I67" s="1"/>
      <c r="J67" s="1"/>
      <c r="K67" s="1"/>
      <c r="L67" s="1"/>
      <c r="M67" s="1"/>
      <c r="N67" s="1"/>
      <c r="W67" s="1"/>
      <c r="Z67" s="760" t="s">
        <v>518</v>
      </c>
      <c r="AA67" s="61" t="s">
        <v>130</v>
      </c>
      <c r="AF67" s="1">
        <f>+$P66*AF$59</f>
        <v>333</v>
      </c>
      <c r="AG67" s="1">
        <f>+$P66*AG$59</f>
        <v>333</v>
      </c>
      <c r="AH67" s="1">
        <f>+$P66*AH$59</f>
        <v>334</v>
      </c>
      <c r="AJ67" s="1">
        <f>+$U66</f>
        <v>0</v>
      </c>
    </row>
    <row r="68" spans="1:36" s="2" customFormat="1" x14ac:dyDescent="0.35">
      <c r="A68" s="42">
        <v>76</v>
      </c>
      <c r="B68" s="19" t="s">
        <v>34</v>
      </c>
      <c r="C68" s="19"/>
      <c r="D68" s="36"/>
      <c r="E68" s="1203">
        <f>Bud_Yr</f>
        <v>2024</v>
      </c>
      <c r="F68" s="1204"/>
      <c r="G68" s="1204"/>
      <c r="H68" s="1204"/>
      <c r="I68" s="1204">
        <f>Bud_Yr-1</f>
        <v>2023</v>
      </c>
      <c r="J68" s="1204"/>
      <c r="K68" s="1204"/>
      <c r="L68" s="1204"/>
      <c r="M68" s="87">
        <f>Bud_Yr-2</f>
        <v>2022</v>
      </c>
      <c r="N68" s="371"/>
      <c r="O68" s="36"/>
      <c r="P68" s="19">
        <f>SUM(P60:P66)</f>
        <v>24993.8</v>
      </c>
      <c r="Q68" s="36">
        <f>SUM(Q60:Q66)</f>
        <v>18200</v>
      </c>
      <c r="R68" s="36">
        <f>SUM(R60:R66)</f>
        <v>6793.8</v>
      </c>
      <c r="S68" s="20">
        <f t="shared" si="25"/>
        <v>0.37328571428571422</v>
      </c>
      <c r="U68" s="36">
        <f>SUM(U60:U66)</f>
        <v>15068.89</v>
      </c>
      <c r="V68" s="36">
        <f>SUM(V60:V66)</f>
        <v>13649.97</v>
      </c>
      <c r="W68" s="20">
        <f t="shared" si="26"/>
        <v>0.10395041161262626</v>
      </c>
      <c r="X68" s="903"/>
      <c r="Y68" s="903"/>
      <c r="Z68" s="91"/>
      <c r="AA68" s="60"/>
      <c r="AB68" s="1"/>
    </row>
    <row r="69" spans="1:36" ht="15" thickBot="1" x14ac:dyDescent="0.4">
      <c r="A69" s="42">
        <v>77</v>
      </c>
      <c r="B69" s="19" t="s">
        <v>84</v>
      </c>
      <c r="C69" s="22"/>
      <c r="D69" s="22"/>
      <c r="E69" s="88" t="s">
        <v>148</v>
      </c>
      <c r="F69" s="89" t="s">
        <v>149</v>
      </c>
      <c r="G69" s="89" t="s">
        <v>152</v>
      </c>
      <c r="H69" s="89" t="s">
        <v>147</v>
      </c>
      <c r="I69" s="89" t="s">
        <v>148</v>
      </c>
      <c r="J69" s="89" t="s">
        <v>149</v>
      </c>
      <c r="K69" s="89" t="s">
        <v>152</v>
      </c>
      <c r="L69" s="89" t="s">
        <v>147</v>
      </c>
      <c r="M69" s="90" t="s">
        <v>149</v>
      </c>
      <c r="N69" s="372"/>
      <c r="O69" s="22"/>
      <c r="P69" s="19">
        <f>+P38+P42+P44+P49+P58+P68+P47</f>
        <v>39427.800000000003</v>
      </c>
      <c r="Q69" s="36">
        <f>+Q38+Q42+Q44+Q49+Q58+Q68+Q47</f>
        <v>31334</v>
      </c>
      <c r="R69" s="36">
        <f>+R38+R42+R44+R49+R58+R68+R47</f>
        <v>8093.8</v>
      </c>
      <c r="S69" s="20">
        <f t="shared" si="25"/>
        <v>0.25830727005808396</v>
      </c>
      <c r="U69" s="36">
        <f>+U38+U42+U44+U49+U58+U68+U47</f>
        <v>18384.64</v>
      </c>
      <c r="V69" s="36">
        <f>+V38+V42+V44+V49+V58+V68+V47</f>
        <v>23346.33</v>
      </c>
      <c r="W69" s="20">
        <f t="shared" si="26"/>
        <v>-0.21252548045024644</v>
      </c>
      <c r="X69" s="903"/>
      <c r="Y69" s="903"/>
      <c r="Z69" s="68"/>
      <c r="AA69" s="58"/>
    </row>
    <row r="70" spans="1:36" ht="23" hidden="1" customHeight="1" x14ac:dyDescent="0.35">
      <c r="A70" s="42">
        <v>79</v>
      </c>
      <c r="B70" s="6" t="s">
        <v>33</v>
      </c>
      <c r="F70" s="82">
        <v>0.03</v>
      </c>
      <c r="G70" s="1208" t="s">
        <v>97</v>
      </c>
      <c r="H70" s="1208"/>
      <c r="K70" s="73" t="s">
        <v>165</v>
      </c>
      <c r="L70" s="82">
        <v>0.01</v>
      </c>
      <c r="O70" s="1191" t="s">
        <v>93</v>
      </c>
      <c r="S70" s="4"/>
      <c r="Z70" s="68"/>
      <c r="AA70" s="58"/>
    </row>
    <row r="71" spans="1:36" outlineLevel="1" x14ac:dyDescent="0.35">
      <c r="A71" s="42">
        <v>80</v>
      </c>
      <c r="B71" s="981" t="s">
        <v>142</v>
      </c>
      <c r="D71" s="980" t="s">
        <v>753</v>
      </c>
      <c r="F71" s="82">
        <v>0.03</v>
      </c>
      <c r="G71" s="1208" t="s">
        <v>98</v>
      </c>
      <c r="H71" s="1208"/>
      <c r="K71" s="73"/>
      <c r="O71" s="1191"/>
      <c r="R71" s="116"/>
      <c r="S71" s="4"/>
      <c r="U71" s="117"/>
      <c r="V71" s="34"/>
      <c r="Z71" s="761" t="s">
        <v>521</v>
      </c>
      <c r="AA71" s="57"/>
    </row>
    <row r="72" spans="1:36" ht="13.5" customHeight="1" outlineLevel="1" x14ac:dyDescent="0.35">
      <c r="C72" s="373" t="s">
        <v>166</v>
      </c>
      <c r="D72" s="374"/>
      <c r="E72" s="375"/>
      <c r="F72" s="812"/>
      <c r="G72" s="813"/>
      <c r="H72" s="120"/>
      <c r="I72" s="121"/>
      <c r="J72" s="375"/>
      <c r="K72" s="121"/>
      <c r="L72" s="814"/>
      <c r="M72" s="124"/>
      <c r="N72" s="124"/>
      <c r="O72" s="374"/>
      <c r="P72" s="767">
        <f>+John!D8</f>
        <v>73310</v>
      </c>
      <c r="Q72" s="381">
        <v>0</v>
      </c>
      <c r="R72" s="378">
        <f>+P72-Q72</f>
        <v>73310</v>
      </c>
      <c r="S72" s="379" t="str">
        <f>IF(Q72=0,"NA",(+P72-Q72)/Q72)</f>
        <v>NA</v>
      </c>
      <c r="T72" s="373"/>
      <c r="U72" s="377">
        <f>2845.66+1421.16</f>
        <v>4266.82</v>
      </c>
      <c r="V72" s="377">
        <v>0</v>
      </c>
      <c r="W72" s="379" t="str">
        <f>IF(V72=0,"NA",(+U72-V72)/V72)</f>
        <v>NA</v>
      </c>
      <c r="X72" s="896"/>
      <c r="Y72" s="985"/>
      <c r="Z72" s="1121" t="s">
        <v>522</v>
      </c>
      <c r="AA72" s="57"/>
    </row>
    <row r="73" spans="1:36" ht="13.5" customHeight="1" outlineLevel="1" x14ac:dyDescent="0.35">
      <c r="A73" s="42">
        <v>82</v>
      </c>
      <c r="C73" s="228" t="s">
        <v>35</v>
      </c>
      <c r="D73" s="238"/>
      <c r="E73" s="239"/>
      <c r="F73" s="254"/>
      <c r="G73" s="255"/>
      <c r="H73" s="256"/>
      <c r="I73" s="257"/>
      <c r="J73" s="239"/>
      <c r="K73" s="258"/>
      <c r="L73" s="239"/>
      <c r="M73" s="259"/>
      <c r="N73" s="259"/>
      <c r="O73" s="260"/>
      <c r="P73" s="261">
        <f>+John!D26</f>
        <v>1500</v>
      </c>
      <c r="Q73" s="245">
        <v>0</v>
      </c>
      <c r="R73" s="226">
        <f t="shared" ref="R73:R81" si="32">+P73-Q73</f>
        <v>1500</v>
      </c>
      <c r="S73" s="227" t="str">
        <f t="shared" ref="S73:S82" si="33">IF(Q73=0,"NA",(+P73-Q73)/Q73)</f>
        <v>NA</v>
      </c>
      <c r="T73" s="228"/>
      <c r="U73" s="225">
        <v>0</v>
      </c>
      <c r="V73" s="225">
        <v>0</v>
      </c>
      <c r="W73" s="227" t="str">
        <f t="shared" ref="W73:W82" si="34">IF(V73=0,"NA",(+U73-V73)/V73)</f>
        <v>NA</v>
      </c>
      <c r="X73" s="897"/>
      <c r="Y73" s="897"/>
      <c r="Z73" s="229" t="s">
        <v>158</v>
      </c>
      <c r="AA73" s="61"/>
    </row>
    <row r="74" spans="1:36" ht="13.5" customHeight="1" outlineLevel="1" x14ac:dyDescent="0.35">
      <c r="C74" s="228" t="s">
        <v>749</v>
      </c>
      <c r="D74" s="238"/>
      <c r="E74" s="239"/>
      <c r="F74" s="254"/>
      <c r="G74" s="255"/>
      <c r="H74" s="239"/>
      <c r="I74" s="239"/>
      <c r="J74" s="256"/>
      <c r="K74" s="239"/>
      <c r="L74" s="239"/>
      <c r="M74" s="239"/>
      <c r="N74" s="239"/>
      <c r="O74" s="260"/>
      <c r="P74" s="261">
        <f>+John!D12</f>
        <v>5836</v>
      </c>
      <c r="Q74" s="245">
        <v>0</v>
      </c>
      <c r="R74" s="226">
        <f t="shared" si="32"/>
        <v>5836</v>
      </c>
      <c r="S74" s="227" t="str">
        <f t="shared" si="33"/>
        <v>NA</v>
      </c>
      <c r="T74" s="228"/>
      <c r="U74" s="225">
        <v>340.34</v>
      </c>
      <c r="V74" s="225">
        <v>0</v>
      </c>
      <c r="W74" s="227" t="str">
        <f t="shared" si="34"/>
        <v>NA</v>
      </c>
      <c r="X74" s="897"/>
      <c r="Y74" s="897"/>
      <c r="Z74" s="229" t="s">
        <v>206</v>
      </c>
      <c r="AA74" s="61"/>
    </row>
    <row r="75" spans="1:36" ht="13.5" hidden="1" customHeight="1" outlineLevel="1" x14ac:dyDescent="0.35">
      <c r="C75" s="1210" t="s">
        <v>164</v>
      </c>
      <c r="D75" s="1210"/>
      <c r="E75" s="262"/>
      <c r="F75" s="263"/>
      <c r="G75" s="264"/>
      <c r="H75" s="265"/>
      <c r="I75" s="261"/>
      <c r="J75" s="266"/>
      <c r="K75" s="239"/>
      <c r="L75" s="1221"/>
      <c r="M75" s="1221"/>
      <c r="N75" s="1221"/>
      <c r="O75" s="1221"/>
      <c r="P75" s="245">
        <v>0</v>
      </c>
      <c r="Q75" s="245">
        <v>0</v>
      </c>
      <c r="R75" s="226">
        <f>+P75-Q75</f>
        <v>0</v>
      </c>
      <c r="S75" s="227" t="str">
        <f t="shared" si="33"/>
        <v>NA</v>
      </c>
      <c r="T75" s="228"/>
      <c r="U75" s="225">
        <v>0</v>
      </c>
      <c r="V75" s="225">
        <v>0</v>
      </c>
      <c r="W75" s="227" t="str">
        <f t="shared" si="34"/>
        <v>NA</v>
      </c>
      <c r="X75" s="897"/>
      <c r="Y75" s="897"/>
      <c r="Z75" s="229" t="s">
        <v>189</v>
      </c>
      <c r="AA75" s="61"/>
      <c r="AB75" s="1">
        <v>14003</v>
      </c>
    </row>
    <row r="76" spans="1:36" ht="13.5" customHeight="1" outlineLevel="1" x14ac:dyDescent="0.35">
      <c r="C76" s="228" t="s">
        <v>160</v>
      </c>
      <c r="D76" s="238"/>
      <c r="E76" s="239"/>
      <c r="F76" s="266"/>
      <c r="G76" s="239"/>
      <c r="H76" s="267"/>
      <c r="I76" s="239"/>
      <c r="J76" s="239"/>
      <c r="K76" s="239"/>
      <c r="L76" s="239"/>
      <c r="M76" s="239"/>
      <c r="N76" s="239"/>
      <c r="O76" s="268"/>
      <c r="P76" s="261">
        <f>+John!D16</f>
        <v>8212</v>
      </c>
      <c r="Q76" s="245">
        <v>0</v>
      </c>
      <c r="R76" s="226">
        <f>+P76-Q76</f>
        <v>8212</v>
      </c>
      <c r="S76" s="227" t="str">
        <f t="shared" si="33"/>
        <v>NA</v>
      </c>
      <c r="T76" s="228"/>
      <c r="U76" s="225">
        <v>478.9</v>
      </c>
      <c r="V76" s="245">
        <v>0</v>
      </c>
      <c r="W76" s="227" t="str">
        <f t="shared" si="34"/>
        <v>NA</v>
      </c>
      <c r="X76" s="897"/>
      <c r="Y76" s="897"/>
      <c r="Z76" s="229"/>
      <c r="AA76" s="64" t="s">
        <v>135</v>
      </c>
      <c r="AB76" s="2"/>
    </row>
    <row r="77" spans="1:36" ht="13.5" hidden="1" customHeight="1" outlineLevel="1" x14ac:dyDescent="0.35">
      <c r="C77" s="228" t="s">
        <v>162</v>
      </c>
      <c r="D77" s="238"/>
      <c r="E77" s="239"/>
      <c r="F77" s="239"/>
      <c r="G77" s="239"/>
      <c r="H77" s="269"/>
      <c r="I77" s="239"/>
      <c r="J77" s="239"/>
      <c r="K77" s="239"/>
      <c r="L77" s="239"/>
      <c r="M77" s="239"/>
      <c r="N77" s="239"/>
      <c r="O77" s="270"/>
      <c r="P77" s="245">
        <v>0</v>
      </c>
      <c r="Q77" s="245">
        <v>0</v>
      </c>
      <c r="R77" s="226">
        <f>+P77-Q77</f>
        <v>0</v>
      </c>
      <c r="S77" s="227" t="str">
        <f t="shared" si="33"/>
        <v>NA</v>
      </c>
      <c r="T77" s="228"/>
      <c r="U77" s="225">
        <v>0</v>
      </c>
      <c r="V77" s="245">
        <v>0</v>
      </c>
      <c r="W77" s="227" t="str">
        <f t="shared" si="34"/>
        <v>NA</v>
      </c>
      <c r="X77" s="897"/>
      <c r="Y77" s="897"/>
      <c r="Z77" s="229" t="s">
        <v>278</v>
      </c>
      <c r="AA77" s="64" t="s">
        <v>135</v>
      </c>
      <c r="AB77" s="1">
        <v>2342</v>
      </c>
    </row>
    <row r="78" spans="1:36" ht="13.5" customHeight="1" outlineLevel="1" x14ac:dyDescent="0.35">
      <c r="A78" s="42">
        <v>83</v>
      </c>
      <c r="C78" s="228" t="s">
        <v>161</v>
      </c>
      <c r="D78" s="238"/>
      <c r="E78" s="259"/>
      <c r="F78" s="269"/>
      <c r="G78" s="259"/>
      <c r="H78" s="269"/>
      <c r="I78" s="259"/>
      <c r="J78" s="269"/>
      <c r="K78" s="272"/>
      <c r="L78" s="239"/>
      <c r="M78" s="239"/>
      <c r="N78" s="239"/>
      <c r="O78" s="268"/>
      <c r="P78" s="261">
        <f>+John!D23</f>
        <v>1399</v>
      </c>
      <c r="Q78" s="245">
        <v>0</v>
      </c>
      <c r="R78" s="226">
        <f t="shared" si="32"/>
        <v>1399</v>
      </c>
      <c r="S78" s="227" t="str">
        <f t="shared" si="33"/>
        <v>NA</v>
      </c>
      <c r="T78" s="228"/>
      <c r="U78" s="225">
        <v>81.41</v>
      </c>
      <c r="V78" s="245">
        <v>0</v>
      </c>
      <c r="W78" s="227" t="str">
        <f t="shared" si="34"/>
        <v>NA</v>
      </c>
      <c r="X78" s="897"/>
      <c r="Y78" s="897"/>
      <c r="Z78" s="271" t="s">
        <v>519</v>
      </c>
      <c r="AA78" s="64" t="s">
        <v>135</v>
      </c>
    </row>
    <row r="79" spans="1:36" ht="13.5" customHeight="1" outlineLevel="1" x14ac:dyDescent="0.35">
      <c r="C79" s="228" t="s">
        <v>102</v>
      </c>
      <c r="D79" s="238"/>
      <c r="E79" s="239"/>
      <c r="F79" s="239"/>
      <c r="G79" s="239"/>
      <c r="H79" s="239"/>
      <c r="I79" s="239"/>
      <c r="J79" s="239"/>
      <c r="K79" s="239"/>
      <c r="L79" s="239"/>
      <c r="M79" s="239"/>
      <c r="N79" s="239"/>
      <c r="O79" s="268"/>
      <c r="P79" s="261">
        <f>+John!D28</f>
        <v>600</v>
      </c>
      <c r="Q79" s="245">
        <v>0</v>
      </c>
      <c r="R79" s="226">
        <f t="shared" si="32"/>
        <v>600</v>
      </c>
      <c r="S79" s="227" t="str">
        <f t="shared" si="33"/>
        <v>NA</v>
      </c>
      <c r="T79" s="228"/>
      <c r="U79" s="225">
        <v>0</v>
      </c>
      <c r="V79" s="225">
        <v>0</v>
      </c>
      <c r="W79" s="227" t="str">
        <f t="shared" si="34"/>
        <v>NA</v>
      </c>
      <c r="X79" s="897"/>
      <c r="Y79" s="897"/>
      <c r="Z79" s="229" t="s">
        <v>159</v>
      </c>
      <c r="AA79" s="61"/>
    </row>
    <row r="80" spans="1:36" ht="13.5" customHeight="1" outlineLevel="1" x14ac:dyDescent="0.35">
      <c r="C80" s="228" t="s">
        <v>750</v>
      </c>
      <c r="D80" s="238"/>
      <c r="E80" s="239"/>
      <c r="F80" s="240"/>
      <c r="G80" s="240"/>
      <c r="H80" s="240"/>
      <c r="I80" s="240"/>
      <c r="J80" s="240"/>
      <c r="K80" s="240"/>
      <c r="L80" s="240"/>
      <c r="M80" s="240"/>
      <c r="N80" s="240"/>
      <c r="O80" s="273"/>
      <c r="P80" s="261">
        <f>+John!D9</f>
        <v>2977</v>
      </c>
      <c r="Q80" s="245">
        <v>0</v>
      </c>
      <c r="R80" s="226">
        <f>+P80-Q80</f>
        <v>2977</v>
      </c>
      <c r="S80" s="227" t="str">
        <f t="shared" si="33"/>
        <v>NA</v>
      </c>
      <c r="T80" s="228"/>
      <c r="U80" s="225">
        <v>181.94</v>
      </c>
      <c r="V80" s="225">
        <v>0</v>
      </c>
      <c r="W80" s="227" t="str">
        <f t="shared" si="34"/>
        <v>NA</v>
      </c>
      <c r="X80" s="982"/>
      <c r="Y80" s="897"/>
      <c r="Z80" s="229" t="s">
        <v>208</v>
      </c>
      <c r="AA80" s="61"/>
    </row>
    <row r="81" spans="1:39" ht="13.5" customHeight="1" outlineLevel="1" x14ac:dyDescent="0.35">
      <c r="A81" s="42">
        <v>85</v>
      </c>
      <c r="C81" s="233" t="s">
        <v>36</v>
      </c>
      <c r="D81" s="241"/>
      <c r="E81" s="242"/>
      <c r="F81" s="243"/>
      <c r="G81" s="243"/>
      <c r="H81" s="243"/>
      <c r="I81" s="243"/>
      <c r="J81" s="243"/>
      <c r="K81" s="243"/>
      <c r="L81" s="243"/>
      <c r="M81" s="243"/>
      <c r="N81" s="243"/>
      <c r="O81" s="274"/>
      <c r="P81" s="275">
        <f>+John!D27</f>
        <v>1300</v>
      </c>
      <c r="Q81" s="246">
        <v>0</v>
      </c>
      <c r="R81" s="231">
        <f t="shared" si="32"/>
        <v>1300</v>
      </c>
      <c r="S81" s="232" t="str">
        <f t="shared" si="33"/>
        <v>NA</v>
      </c>
      <c r="T81" s="233"/>
      <c r="U81" s="230">
        <v>0</v>
      </c>
      <c r="V81" s="230">
        <v>0</v>
      </c>
      <c r="W81" s="232" t="str">
        <f t="shared" si="34"/>
        <v>NA</v>
      </c>
      <c r="X81" s="892"/>
      <c r="Y81" s="892"/>
      <c r="Z81" s="234" t="s">
        <v>503</v>
      </c>
      <c r="AA81" s="61"/>
      <c r="AF81" s="364">
        <v>0.4</v>
      </c>
      <c r="AG81" s="364">
        <v>0.15</v>
      </c>
      <c r="AH81" s="364">
        <v>0.4</v>
      </c>
      <c r="AI81" s="364">
        <v>0.05</v>
      </c>
      <c r="AJ81" s="34">
        <f>+AF81</f>
        <v>0.4</v>
      </c>
      <c r="AK81" s="34">
        <f>+AG81</f>
        <v>0.15</v>
      </c>
      <c r="AL81" s="34">
        <f>+AH81</f>
        <v>0.4</v>
      </c>
      <c r="AM81" s="34">
        <f>+AI81</f>
        <v>0.05</v>
      </c>
    </row>
    <row r="82" spans="1:39" s="2" customFormat="1" outlineLevel="1" x14ac:dyDescent="0.35">
      <c r="A82" s="42">
        <v>86</v>
      </c>
      <c r="B82" s="23" t="s">
        <v>143</v>
      </c>
      <c r="C82" s="23"/>
      <c r="D82" s="23"/>
      <c r="E82" s="83"/>
      <c r="F82" s="83"/>
      <c r="G82" s="83"/>
      <c r="H82" s="83"/>
      <c r="I82" s="83"/>
      <c r="J82" s="83"/>
      <c r="K82" s="83"/>
      <c r="L82" s="83"/>
      <c r="M82" s="83"/>
      <c r="N82" s="83"/>
      <c r="O82" s="23"/>
      <c r="P82" s="23">
        <f>SUM(P72:P81)</f>
        <v>95134</v>
      </c>
      <c r="Q82" s="23">
        <f>SUM(Q72:Q81)</f>
        <v>0</v>
      </c>
      <c r="R82" s="23">
        <f>SUM(R72:R81)</f>
        <v>95134</v>
      </c>
      <c r="S82" s="24" t="str">
        <f t="shared" si="33"/>
        <v>NA</v>
      </c>
      <c r="U82" s="23">
        <f>SUM(U72:U81)</f>
        <v>5349.4099999999989</v>
      </c>
      <c r="V82" s="23">
        <f>SUM(V72:V81)</f>
        <v>0</v>
      </c>
      <c r="W82" s="24" t="str">
        <f t="shared" si="34"/>
        <v>NA</v>
      </c>
      <c r="X82" s="33"/>
      <c r="Y82" s="33"/>
      <c r="Z82" s="69"/>
      <c r="AA82" s="60"/>
      <c r="AB82" s="1"/>
      <c r="AF82" s="2">
        <f>+$P82*AF81</f>
        <v>38053.599999999999</v>
      </c>
      <c r="AG82" s="2">
        <f>+$P82*AG81</f>
        <v>14270.1</v>
      </c>
      <c r="AH82" s="2">
        <f>+$P82*AH81</f>
        <v>38053.599999999999</v>
      </c>
      <c r="AI82" s="2">
        <f>+$P82*AI81</f>
        <v>4756.7</v>
      </c>
      <c r="AJ82" s="2">
        <f>+U82*AJ81</f>
        <v>2139.7639999999997</v>
      </c>
      <c r="AK82" s="2">
        <f>+U82*AK81</f>
        <v>802.41149999999982</v>
      </c>
      <c r="AL82" s="2">
        <f>+U82*AL81</f>
        <v>2139.7639999999997</v>
      </c>
      <c r="AM82" s="2">
        <f>+V82*AM81</f>
        <v>0</v>
      </c>
    </row>
    <row r="83" spans="1:39" ht="19.5" customHeight="1" outlineLevel="1" x14ac:dyDescent="0.35">
      <c r="A83" s="42">
        <v>80</v>
      </c>
      <c r="B83" s="838" t="s">
        <v>270</v>
      </c>
      <c r="D83" s="823"/>
      <c r="F83" s="408"/>
      <c r="G83" s="1211"/>
      <c r="H83" s="1211"/>
      <c r="R83" s="116"/>
      <c r="S83" s="38"/>
      <c r="U83" s="117"/>
      <c r="V83" s="34"/>
      <c r="W83" s="38"/>
      <c r="Y83" s="65" t="s">
        <v>610</v>
      </c>
      <c r="Z83" s="61"/>
      <c r="AA83" s="57"/>
    </row>
    <row r="84" spans="1:39" ht="13.5" customHeight="1" outlineLevel="1" x14ac:dyDescent="0.35">
      <c r="A84" s="42">
        <v>81</v>
      </c>
      <c r="C84" s="223" t="s">
        <v>166</v>
      </c>
      <c r="D84" s="235"/>
      <c r="E84" s="236"/>
      <c r="F84" s="248"/>
      <c r="G84" s="335"/>
      <c r="H84" s="249"/>
      <c r="I84" s="250"/>
      <c r="J84" s="236"/>
      <c r="K84" s="250"/>
      <c r="L84" s="251"/>
      <c r="M84" s="252"/>
      <c r="N84" s="252"/>
      <c r="O84" s="235"/>
      <c r="P84" s="247">
        <v>0</v>
      </c>
      <c r="Q84" s="253">
        <f>+'Pastor Kelly'!L16</f>
        <v>64553</v>
      </c>
      <c r="R84" s="221">
        <f t="shared" ref="R84:R93" si="35">+P84-Q84</f>
        <v>-64553</v>
      </c>
      <c r="S84" s="222">
        <f t="shared" ref="S84:S94" si="36">IF(Q84=0,"NA",(+P84-Q84)/Q84)</f>
        <v>-1</v>
      </c>
      <c r="T84" s="223"/>
      <c r="U84" s="220">
        <f>14614.2+5733.36</f>
        <v>20347.560000000001</v>
      </c>
      <c r="V84" s="220">
        <f>33414.75+15000</f>
        <v>48414.75</v>
      </c>
      <c r="W84" s="222">
        <f t="shared" ref="W84:W94" si="37">IF(V84=0,"NA",(+U84-V84)/V84)</f>
        <v>-0.57972394776385294</v>
      </c>
      <c r="X84" s="899" t="s">
        <v>762</v>
      </c>
      <c r="Y84" s="986" t="s">
        <v>609</v>
      </c>
      <c r="Z84" s="762" t="s">
        <v>504</v>
      </c>
      <c r="AA84" s="61" t="s">
        <v>124</v>
      </c>
    </row>
    <row r="85" spans="1:39" ht="13.5" customHeight="1" outlineLevel="1" x14ac:dyDescent="0.35">
      <c r="A85" s="42">
        <v>82</v>
      </c>
      <c r="C85" s="228" t="s">
        <v>35</v>
      </c>
      <c r="D85" s="238"/>
      <c r="E85" s="239"/>
      <c r="F85" s="254"/>
      <c r="G85" s="255"/>
      <c r="H85" s="256"/>
      <c r="I85" s="257"/>
      <c r="J85" s="239"/>
      <c r="K85" s="258"/>
      <c r="L85" s="239"/>
      <c r="M85" s="259"/>
      <c r="N85" s="259"/>
      <c r="O85" s="260"/>
      <c r="P85" s="247">
        <v>0</v>
      </c>
      <c r="Q85" s="261">
        <f>+'Pastor Kelly'!L47</f>
        <v>1200</v>
      </c>
      <c r="R85" s="226">
        <f t="shared" si="35"/>
        <v>-1200</v>
      </c>
      <c r="S85" s="227">
        <f t="shared" si="36"/>
        <v>-1</v>
      </c>
      <c r="T85" s="228"/>
      <c r="U85" s="225">
        <v>160.47999999999999</v>
      </c>
      <c r="V85" s="225">
        <v>900</v>
      </c>
      <c r="W85" s="227">
        <f t="shared" si="37"/>
        <v>-0.82168888888888891</v>
      </c>
      <c r="X85" s="897"/>
      <c r="Y85" s="897"/>
      <c r="Z85" s="229" t="s">
        <v>158</v>
      </c>
      <c r="AA85" s="61"/>
    </row>
    <row r="86" spans="1:39" ht="13.5" customHeight="1" outlineLevel="1" x14ac:dyDescent="0.35">
      <c r="C86" s="228" t="s">
        <v>273</v>
      </c>
      <c r="D86" s="238"/>
      <c r="E86" s="239"/>
      <c r="F86" s="254"/>
      <c r="G86" s="255"/>
      <c r="H86" s="239"/>
      <c r="I86" s="239"/>
      <c r="J86" s="256"/>
      <c r="K86" s="239"/>
      <c r="L86" s="239"/>
      <c r="M86" s="239"/>
      <c r="N86" s="239"/>
      <c r="O86" s="260"/>
      <c r="P86" s="247">
        <v>0</v>
      </c>
      <c r="Q86" s="261">
        <f>+'Pastor Kelly'!L19</f>
        <v>4938</v>
      </c>
      <c r="R86" s="226">
        <f t="shared" si="35"/>
        <v>-4938</v>
      </c>
      <c r="S86" s="227">
        <f t="shared" si="36"/>
        <v>-1</v>
      </c>
      <c r="T86" s="228"/>
      <c r="U86" s="225">
        <v>1428.02</v>
      </c>
      <c r="V86" s="225">
        <v>3703.5</v>
      </c>
      <c r="W86" s="227">
        <f t="shared" si="37"/>
        <v>-0.61441339273660056</v>
      </c>
      <c r="X86" s="897"/>
      <c r="Y86" s="897"/>
      <c r="Z86" s="229" t="s">
        <v>206</v>
      </c>
      <c r="AA86" s="61"/>
      <c r="AC86" s="404"/>
    </row>
    <row r="87" spans="1:39" ht="13.5" customHeight="1" outlineLevel="1" x14ac:dyDescent="0.35">
      <c r="C87" s="228" t="s">
        <v>160</v>
      </c>
      <c r="D87" s="238"/>
      <c r="E87" s="239"/>
      <c r="F87" s="266"/>
      <c r="G87" s="239"/>
      <c r="H87" s="267"/>
      <c r="I87" s="239"/>
      <c r="J87" s="239"/>
      <c r="K87" s="239"/>
      <c r="L87" s="239"/>
      <c r="M87" s="239"/>
      <c r="N87" s="239"/>
      <c r="O87" s="268"/>
      <c r="P87" s="247">
        <v>0</v>
      </c>
      <c r="Q87" s="261">
        <f>+'Pastor Kelly'!L38</f>
        <v>6949</v>
      </c>
      <c r="R87" s="226">
        <f t="shared" si="35"/>
        <v>-6949</v>
      </c>
      <c r="S87" s="227">
        <f t="shared" si="36"/>
        <v>-1</v>
      </c>
      <c r="T87" s="228"/>
      <c r="U87" s="225">
        <v>2629.29</v>
      </c>
      <c r="V87" s="245">
        <v>5211.72</v>
      </c>
      <c r="W87" s="227">
        <f t="shared" si="37"/>
        <v>-0.49550436324284503</v>
      </c>
      <c r="X87" s="897"/>
      <c r="Y87" s="897"/>
      <c r="Z87" s="229"/>
      <c r="AA87" s="64" t="s">
        <v>135</v>
      </c>
    </row>
    <row r="88" spans="1:39" ht="13.5" customHeight="1" outlineLevel="1" x14ac:dyDescent="0.35">
      <c r="C88" s="228" t="s">
        <v>274</v>
      </c>
      <c r="D88" s="238"/>
      <c r="E88" s="239"/>
      <c r="F88" s="239"/>
      <c r="G88" s="239"/>
      <c r="H88" s="269"/>
      <c r="I88" s="239"/>
      <c r="J88" s="239"/>
      <c r="K88" s="239"/>
      <c r="L88" s="239"/>
      <c r="M88" s="239"/>
      <c r="N88" s="239"/>
      <c r="O88" s="270"/>
      <c r="P88" s="247">
        <v>0</v>
      </c>
      <c r="Q88" s="261">
        <f>+'Pastor Kelly'!L25</f>
        <v>20040</v>
      </c>
      <c r="R88" s="226">
        <f t="shared" si="35"/>
        <v>-20040</v>
      </c>
      <c r="S88" s="227">
        <f t="shared" si="36"/>
        <v>-1</v>
      </c>
      <c r="T88" s="228"/>
      <c r="U88" s="225">
        <v>3305.03</v>
      </c>
      <c r="V88" s="245">
        <v>15030</v>
      </c>
      <c r="W88" s="227">
        <f t="shared" si="37"/>
        <v>-0.78010445775116433</v>
      </c>
      <c r="X88" s="897"/>
      <c r="Y88" s="984"/>
      <c r="Z88" s="229" t="s">
        <v>338</v>
      </c>
      <c r="AA88" s="64"/>
      <c r="AB88" s="2"/>
    </row>
    <row r="89" spans="1:39" ht="13.5" customHeight="1" outlineLevel="1" x14ac:dyDescent="0.35">
      <c r="A89" s="42">
        <v>83</v>
      </c>
      <c r="C89" s="228" t="s">
        <v>161</v>
      </c>
      <c r="D89" s="238"/>
      <c r="E89" s="259"/>
      <c r="F89" s="269"/>
      <c r="G89" s="259"/>
      <c r="H89" s="269"/>
      <c r="I89" s="259"/>
      <c r="J89" s="269"/>
      <c r="K89" s="272"/>
      <c r="L89" s="239"/>
      <c r="M89" s="239"/>
      <c r="N89" s="239"/>
      <c r="O89" s="268"/>
      <c r="P89" s="247">
        <v>0</v>
      </c>
      <c r="Q89" s="261">
        <f>+'Pastor Kelly'!L45</f>
        <v>1529</v>
      </c>
      <c r="R89" s="226">
        <f t="shared" si="35"/>
        <v>-1529</v>
      </c>
      <c r="S89" s="227">
        <f t="shared" si="36"/>
        <v>-1</v>
      </c>
      <c r="T89" s="228"/>
      <c r="U89" s="225">
        <v>389.39</v>
      </c>
      <c r="V89" s="245">
        <v>1146.78</v>
      </c>
      <c r="W89" s="227">
        <f t="shared" si="37"/>
        <v>-0.66044925792218212</v>
      </c>
      <c r="X89" s="897"/>
      <c r="Y89" s="897"/>
      <c r="Z89" s="271" t="s">
        <v>519</v>
      </c>
      <c r="AA89" s="64" t="s">
        <v>135</v>
      </c>
    </row>
    <row r="90" spans="1:39" ht="13.5" customHeight="1" outlineLevel="1" x14ac:dyDescent="0.35">
      <c r="C90" s="228" t="s">
        <v>102</v>
      </c>
      <c r="D90" s="238"/>
      <c r="E90" s="239"/>
      <c r="F90" s="239"/>
      <c r="G90" s="239"/>
      <c r="H90" s="239"/>
      <c r="I90" s="239"/>
      <c r="J90" s="239"/>
      <c r="K90" s="239"/>
      <c r="L90" s="239"/>
      <c r="M90" s="239"/>
      <c r="N90" s="239"/>
      <c r="O90" s="268"/>
      <c r="P90" s="247">
        <v>0</v>
      </c>
      <c r="Q90" s="261">
        <f>+'Pastor Kelly'!L51</f>
        <v>600</v>
      </c>
      <c r="R90" s="226">
        <f t="shared" si="35"/>
        <v>-600</v>
      </c>
      <c r="S90" s="227">
        <f t="shared" si="36"/>
        <v>-1</v>
      </c>
      <c r="T90" s="228"/>
      <c r="U90" s="225">
        <v>0</v>
      </c>
      <c r="V90" s="225">
        <v>450</v>
      </c>
      <c r="W90" s="227">
        <f t="shared" si="37"/>
        <v>-1</v>
      </c>
      <c r="X90" s="897"/>
      <c r="Y90" s="897"/>
      <c r="Z90" s="229" t="s">
        <v>158</v>
      </c>
      <c r="AA90" s="61"/>
    </row>
    <row r="91" spans="1:39" ht="13.5" customHeight="1" outlineLevel="1" x14ac:dyDescent="0.35">
      <c r="C91" s="228" t="s">
        <v>200</v>
      </c>
      <c r="D91" s="238"/>
      <c r="E91" s="239"/>
      <c r="F91" s="240"/>
      <c r="G91" s="240"/>
      <c r="H91" s="240"/>
      <c r="I91" s="240"/>
      <c r="J91" s="240"/>
      <c r="K91" s="240"/>
      <c r="L91" s="240"/>
      <c r="M91" s="240"/>
      <c r="N91" s="240"/>
      <c r="O91" s="273"/>
      <c r="P91" s="247">
        <v>0</v>
      </c>
      <c r="Q91" s="261">
        <f>+'Pastor Kelly'!L52</f>
        <v>480</v>
      </c>
      <c r="R91" s="226">
        <f t="shared" si="35"/>
        <v>-480</v>
      </c>
      <c r="S91" s="227">
        <f t="shared" si="36"/>
        <v>-1</v>
      </c>
      <c r="T91" s="228"/>
      <c r="U91" s="225">
        <v>0</v>
      </c>
      <c r="V91" s="225">
        <v>974.97</v>
      </c>
      <c r="W91" s="227">
        <f t="shared" si="37"/>
        <v>-1</v>
      </c>
      <c r="X91" s="897"/>
      <c r="Y91" s="897" t="s">
        <v>634</v>
      </c>
      <c r="Z91" s="229" t="s">
        <v>208</v>
      </c>
      <c r="AA91" s="61"/>
    </row>
    <row r="92" spans="1:39" ht="13.5" customHeight="1" outlineLevel="1" x14ac:dyDescent="0.35">
      <c r="A92" s="42">
        <v>85</v>
      </c>
      <c r="C92" s="228" t="s">
        <v>36</v>
      </c>
      <c r="D92" s="238"/>
      <c r="E92" s="239"/>
      <c r="F92" s="240"/>
      <c r="G92" s="240"/>
      <c r="H92" s="240"/>
      <c r="I92" s="240"/>
      <c r="J92" s="240"/>
      <c r="K92" s="240"/>
      <c r="L92" s="240"/>
      <c r="M92" s="240"/>
      <c r="N92" s="240"/>
      <c r="O92" s="276"/>
      <c r="P92" s="247">
        <v>0</v>
      </c>
      <c r="Q92" s="261">
        <f>+'Pastor Kelly'!L48</f>
        <v>1300</v>
      </c>
      <c r="R92" s="226">
        <f t="shared" si="35"/>
        <v>-1300</v>
      </c>
      <c r="S92" s="227">
        <f t="shared" si="36"/>
        <v>-1</v>
      </c>
      <c r="T92" s="228"/>
      <c r="U92" s="225">
        <v>0</v>
      </c>
      <c r="V92" s="225">
        <v>0</v>
      </c>
      <c r="W92" s="227" t="str">
        <f t="shared" si="37"/>
        <v>NA</v>
      </c>
      <c r="X92" s="897"/>
      <c r="Y92" s="897"/>
      <c r="Z92" s="229" t="s">
        <v>158</v>
      </c>
      <c r="AA92" s="61"/>
      <c r="AF92" s="364">
        <v>0.4</v>
      </c>
      <c r="AG92" s="364">
        <v>0.4</v>
      </c>
      <c r="AH92" s="364">
        <v>0.2</v>
      </c>
      <c r="AJ92" s="34">
        <f>+AF92</f>
        <v>0.4</v>
      </c>
      <c r="AK92" s="34">
        <f>+AG92</f>
        <v>0.4</v>
      </c>
      <c r="AL92" s="34">
        <f>+AH92</f>
        <v>0.2</v>
      </c>
    </row>
    <row r="93" spans="1:39" hidden="1" outlineLevel="1" x14ac:dyDescent="0.35">
      <c r="C93" s="228" t="s">
        <v>269</v>
      </c>
      <c r="D93" s="238"/>
      <c r="E93" s="239"/>
      <c r="F93" s="240"/>
      <c r="G93" s="240"/>
      <c r="H93" s="240"/>
      <c r="I93" s="240"/>
      <c r="J93" s="240"/>
      <c r="K93" s="240"/>
      <c r="L93" s="240"/>
      <c r="M93" s="240"/>
      <c r="N93" s="240"/>
      <c r="O93" s="276"/>
      <c r="P93" s="261">
        <f>+'Pastor Kelly'!I53</f>
        <v>0</v>
      </c>
      <c r="Q93" s="261">
        <f>+'Pastor Kelly'!E53</f>
        <v>0</v>
      </c>
      <c r="R93" s="226">
        <f t="shared" si="35"/>
        <v>0</v>
      </c>
      <c r="S93" s="227" t="str">
        <f t="shared" si="36"/>
        <v>NA</v>
      </c>
      <c r="T93" s="228"/>
      <c r="U93" s="225">
        <v>0</v>
      </c>
      <c r="V93" s="225">
        <v>0</v>
      </c>
      <c r="W93" s="227" t="str">
        <f t="shared" si="37"/>
        <v>NA</v>
      </c>
      <c r="X93" s="897"/>
      <c r="Y93" s="897"/>
      <c r="Z93" s="229" t="s">
        <v>339</v>
      </c>
      <c r="AA93" s="61"/>
      <c r="AF93" s="364"/>
      <c r="AG93" s="364"/>
      <c r="AH93" s="364"/>
      <c r="AJ93" s="34"/>
      <c r="AK93" s="34"/>
      <c r="AL93" s="34"/>
    </row>
    <row r="94" spans="1:39" s="2" customFormat="1" outlineLevel="1" x14ac:dyDescent="0.35">
      <c r="A94" s="42">
        <v>86</v>
      </c>
      <c r="B94" s="23" t="s">
        <v>271</v>
      </c>
      <c r="C94" s="23"/>
      <c r="D94" s="23"/>
      <c r="E94" s="83"/>
      <c r="F94" s="83"/>
      <c r="G94" s="83"/>
      <c r="H94" s="83"/>
      <c r="I94" s="83"/>
      <c r="J94" s="83"/>
      <c r="K94" s="83"/>
      <c r="L94" s="83"/>
      <c r="M94" s="83"/>
      <c r="N94" s="83"/>
      <c r="O94" s="23"/>
      <c r="P94" s="23">
        <f>SUM(P84:P93)</f>
        <v>0</v>
      </c>
      <c r="Q94" s="23">
        <f>SUM(Q84:Q93)</f>
        <v>101589</v>
      </c>
      <c r="R94" s="23">
        <f>SUM(R84:R93)</f>
        <v>-101589</v>
      </c>
      <c r="S94" s="24">
        <f t="shared" si="36"/>
        <v>-1</v>
      </c>
      <c r="U94" s="23">
        <f>SUM(U84:U93)</f>
        <v>28259.77</v>
      </c>
      <c r="V94" s="23">
        <f>SUM(V84:V93)</f>
        <v>75831.72</v>
      </c>
      <c r="W94" s="24">
        <f t="shared" si="37"/>
        <v>-0.62733576397845114</v>
      </c>
      <c r="X94" s="33"/>
      <c r="Y94" s="33"/>
      <c r="Z94" s="69"/>
      <c r="AA94" s="60"/>
      <c r="AB94" s="1"/>
      <c r="AF94" s="2">
        <f>+$P94*AF92</f>
        <v>0</v>
      </c>
      <c r="AG94" s="2">
        <f>+$P94*AG92</f>
        <v>0</v>
      </c>
      <c r="AH94" s="2">
        <f>+$P94*AH92</f>
        <v>0</v>
      </c>
      <c r="AJ94" s="2">
        <f>+U94*AJ92</f>
        <v>11303.908000000001</v>
      </c>
      <c r="AK94" s="2">
        <f>+U94*AK92</f>
        <v>11303.908000000001</v>
      </c>
      <c r="AL94" s="2">
        <f>+U94*AL92</f>
        <v>5651.9540000000006</v>
      </c>
    </row>
    <row r="95" spans="1:39" s="822" customFormat="1" ht="19.5" customHeight="1" outlineLevel="1" x14ac:dyDescent="0.35">
      <c r="A95" s="821">
        <v>93</v>
      </c>
      <c r="B95" s="838" t="s">
        <v>432</v>
      </c>
      <c r="D95" s="823"/>
      <c r="E95" s="824"/>
      <c r="F95" s="825"/>
      <c r="G95" s="825"/>
      <c r="H95" s="825"/>
      <c r="I95" s="825"/>
      <c r="J95" s="825"/>
      <c r="K95" s="825"/>
      <c r="L95" s="825"/>
      <c r="M95" s="825"/>
      <c r="N95" s="825"/>
      <c r="S95" s="825"/>
      <c r="W95" s="825"/>
      <c r="X95" s="895"/>
      <c r="Y95" s="895"/>
      <c r="Z95" s="826"/>
      <c r="AA95" s="827"/>
    </row>
    <row r="96" spans="1:39" ht="13.5" customHeight="1" outlineLevel="1" x14ac:dyDescent="0.35">
      <c r="A96" s="42">
        <v>95</v>
      </c>
      <c r="C96" s="373" t="s">
        <v>39</v>
      </c>
      <c r="D96" s="374"/>
      <c r="E96" s="763">
        <v>0</v>
      </c>
      <c r="F96" s="1105">
        <v>0</v>
      </c>
      <c r="G96" s="763">
        <v>40</v>
      </c>
      <c r="H96" s="815">
        <v>0</v>
      </c>
      <c r="I96" s="763">
        <v>4</v>
      </c>
      <c r="J96" s="764">
        <v>10</v>
      </c>
      <c r="K96" s="763">
        <v>40</v>
      </c>
      <c r="L96" s="379">
        <f>IF(M96=0,0,(+J96-M96)/M96)</f>
        <v>0</v>
      </c>
      <c r="M96" s="765">
        <v>10</v>
      </c>
      <c r="N96" s="765"/>
      <c r="O96" s="373"/>
      <c r="P96" s="381">
        <v>800</v>
      </c>
      <c r="Q96" s="381">
        <v>0</v>
      </c>
      <c r="R96" s="378">
        <f>+P96-Q96</f>
        <v>800</v>
      </c>
      <c r="S96" s="379" t="str">
        <f>IF(Q96=0,"NA",(+P96-Q96)/Q96)</f>
        <v>NA</v>
      </c>
      <c r="T96" s="373"/>
      <c r="U96" s="381">
        <v>0</v>
      </c>
      <c r="V96" s="377">
        <v>0</v>
      </c>
      <c r="W96" s="379" t="str">
        <f>IF(V96=0,"NA",(+U96-V96)/V96)</f>
        <v>NA</v>
      </c>
      <c r="X96" s="1400" t="s">
        <v>754</v>
      </c>
      <c r="Y96" s="996" t="s">
        <v>646</v>
      </c>
      <c r="Z96" s="816" t="str">
        <f>Bud_Yr&amp;":  avg "&amp;E96&amp;" hrs/week at $"&amp;F96&amp;"/hr ("&amp;ROUND(H96*100,1)&amp;"% incr.) for "&amp;G96&amp;" wks (Sept-May, excluding Lent) x 2 people.  "&amp;Bud_Yr-1&amp;":  avg "&amp;I96&amp;" hrs/wk at $"&amp;J96&amp;"/hr ("&amp;ROUND(L96*100,1)&amp;"% incr.) for "&amp;K96&amp;" wks."</f>
        <v>2024:  avg 0 hrs/week at $0/hr (0% incr.) for 40 wks (Sept-May, excluding Lent) x 2 people.  2023:  avg 4 hrs/wk at $10/hr (0% incr.) for 40 wks.</v>
      </c>
      <c r="AA96" s="1" t="s">
        <v>114</v>
      </c>
      <c r="AG96" s="1">
        <f>+$P96</f>
        <v>800</v>
      </c>
      <c r="AK96" s="1">
        <f>+$U96</f>
        <v>0</v>
      </c>
    </row>
    <row r="97" spans="1:39" ht="13.5" customHeight="1" outlineLevel="1" x14ac:dyDescent="0.35">
      <c r="C97" s="373" t="s">
        <v>641</v>
      </c>
      <c r="D97" s="374"/>
      <c r="E97" s="763">
        <v>22.89</v>
      </c>
      <c r="F97" s="1159">
        <f>ROUNDUP(+J97*(1+F$70),1)</f>
        <v>21.700000000000003</v>
      </c>
      <c r="G97" s="763">
        <v>52</v>
      </c>
      <c r="H97" s="1022">
        <f>+IF(J97=0,"NA",ROUND((F97-J97)/J97,3))</f>
        <v>3.3000000000000002E-2</v>
      </c>
      <c r="I97" s="763">
        <v>22.89</v>
      </c>
      <c r="J97" s="764">
        <v>21</v>
      </c>
      <c r="K97" s="763">
        <v>52</v>
      </c>
      <c r="L97" s="815">
        <v>1</v>
      </c>
      <c r="M97" s="765">
        <v>0</v>
      </c>
      <c r="N97" s="765"/>
      <c r="O97" s="373"/>
      <c r="P97" s="1158">
        <f>+F97*G97*E97</f>
        <v>25829.076000000001</v>
      </c>
      <c r="Q97" s="381">
        <v>25000</v>
      </c>
      <c r="R97" s="378">
        <f>+P97-Q97</f>
        <v>829.07600000000093</v>
      </c>
      <c r="S97" s="379">
        <f>IF(Q97=0,"NA",(+P97-Q97)/Q97)</f>
        <v>3.3163040000000039E-2</v>
      </c>
      <c r="T97" s="373"/>
      <c r="U97" s="381">
        <v>8956.5</v>
      </c>
      <c r="V97" s="377">
        <v>18181.84</v>
      </c>
      <c r="W97" s="379">
        <f>IF(V97=0,"NA",(+U97-V97)/V97)</f>
        <v>-0.50739309112829067</v>
      </c>
      <c r="X97" s="896"/>
      <c r="Y97" s="996" t="s">
        <v>665</v>
      </c>
      <c r="Z97" s="816"/>
      <c r="AA97" s="1"/>
    </row>
    <row r="98" spans="1:39" s="2" customFormat="1" outlineLevel="1" x14ac:dyDescent="0.35">
      <c r="A98" s="42">
        <v>96</v>
      </c>
      <c r="B98" s="23" t="s">
        <v>433</v>
      </c>
      <c r="C98" s="23"/>
      <c r="D98" s="23"/>
      <c r="E98" s="83"/>
      <c r="F98" s="83"/>
      <c r="G98" s="83"/>
      <c r="H98" s="83"/>
      <c r="I98" s="83"/>
      <c r="J98" s="83"/>
      <c r="K98" s="83"/>
      <c r="L98" s="83"/>
      <c r="M98" s="83"/>
      <c r="N98" s="83"/>
      <c r="O98" s="23"/>
      <c r="P98" s="23">
        <f>SUM(P96:P97)</f>
        <v>26629.076000000001</v>
      </c>
      <c r="Q98" s="23">
        <f>SUM(Q96:Q97)</f>
        <v>25000</v>
      </c>
      <c r="R98" s="23">
        <f>SUM(R96:R97)</f>
        <v>1629.0760000000009</v>
      </c>
      <c r="S98" s="24">
        <f>IF(Q98=0,"NA",(+P98-Q98)/Q98)</f>
        <v>6.5163040000000033E-2</v>
      </c>
      <c r="U98" s="23">
        <f>SUM(U96:U97)</f>
        <v>8956.5</v>
      </c>
      <c r="V98" s="23">
        <f>SUM(V96:V97)</f>
        <v>18181.84</v>
      </c>
      <c r="W98" s="24">
        <f>IF(V98=0,"NA",(+U98-V98)/V98)</f>
        <v>-0.50739309112829067</v>
      </c>
      <c r="X98" s="33"/>
      <c r="Y98" s="33"/>
      <c r="Z98" s="69"/>
      <c r="AA98" s="60"/>
      <c r="AB98" s="1"/>
    </row>
    <row r="99" spans="1:39" ht="19.5" customHeight="1" outlineLevel="1" x14ac:dyDescent="0.35">
      <c r="A99" s="42">
        <v>107</v>
      </c>
      <c r="B99" s="838" t="s">
        <v>41</v>
      </c>
      <c r="F99" s="1156"/>
      <c r="G99" s="1157"/>
      <c r="Q99" s="25"/>
      <c r="S99" s="4"/>
      <c r="Z99" s="68"/>
      <c r="AA99" s="58"/>
    </row>
    <row r="100" spans="1:39" ht="13.5" customHeight="1" outlineLevel="1" x14ac:dyDescent="0.35">
      <c r="A100" s="42">
        <v>108</v>
      </c>
      <c r="C100" s="373" t="s">
        <v>104</v>
      </c>
      <c r="D100" s="374"/>
      <c r="E100" s="375"/>
      <c r="F100" s="376"/>
      <c r="G100" s="376"/>
      <c r="H100" s="376"/>
      <c r="I100" s="376"/>
      <c r="J100" s="376"/>
      <c r="K100" s="376"/>
      <c r="L100" s="376"/>
      <c r="M100" s="376"/>
      <c r="N100" s="376"/>
      <c r="O100" s="766"/>
      <c r="P100" s="767">
        <f>ROUND((+Q100)*(1+$F$71),0)</f>
        <v>17818</v>
      </c>
      <c r="Q100" s="377">
        <v>17299</v>
      </c>
      <c r="R100" s="378">
        <f t="shared" ref="R100:R106" si="38">+P100-Q100</f>
        <v>519</v>
      </c>
      <c r="S100" s="379">
        <f t="shared" ref="S100:S107" si="39">IF(Q100=0,"NA",(+P100-Q100)/Q100)</f>
        <v>3.0001734204289265E-2</v>
      </c>
      <c r="T100" s="373"/>
      <c r="U100" s="377">
        <v>12974.4</v>
      </c>
      <c r="V100" s="377">
        <v>12974.22</v>
      </c>
      <c r="W100" s="379">
        <f t="shared" ref="W100:W107" si="40">IF(V100=0,"NA",(+U100-V100)/V100)</f>
        <v>1.3873666393840326E-5</v>
      </c>
      <c r="X100" s="896"/>
      <c r="Y100" s="380" t="s">
        <v>396</v>
      </c>
      <c r="Z100" s="380" t="s">
        <v>290</v>
      </c>
      <c r="AA100" s="57" t="s">
        <v>136</v>
      </c>
      <c r="AB100" s="2"/>
      <c r="AF100" s="1">
        <f t="shared" ref="AF100:AF106" si="41">+$P100</f>
        <v>17818</v>
      </c>
      <c r="AJ100" s="1">
        <f t="shared" ref="AJ100:AJ106" si="42">+$U100</f>
        <v>12974.4</v>
      </c>
    </row>
    <row r="101" spans="1:39" ht="13.5" customHeight="1" outlineLevel="1" x14ac:dyDescent="0.35">
      <c r="C101" s="233" t="s">
        <v>211</v>
      </c>
      <c r="D101" s="241"/>
      <c r="E101" s="242"/>
      <c r="F101" s="243"/>
      <c r="G101" s="243"/>
      <c r="H101" s="243"/>
      <c r="I101" s="243"/>
      <c r="J101" s="243"/>
      <c r="K101" s="243"/>
      <c r="L101" s="243"/>
      <c r="M101" s="243"/>
      <c r="N101" s="243"/>
      <c r="O101" s="274"/>
      <c r="P101" s="275">
        <f>+'Band and Other Music'!H12</f>
        <v>3361</v>
      </c>
      <c r="Q101" s="231">
        <f>+'Band and Other Music'!G12</f>
        <v>3263</v>
      </c>
      <c r="R101" s="231">
        <f>+P101-Q101</f>
        <v>98</v>
      </c>
      <c r="S101" s="232">
        <f>IF(Q101=0,"NA",(+P101-Q101)/Q101)</f>
        <v>3.0033711308611707E-2</v>
      </c>
      <c r="T101" s="233"/>
      <c r="U101" s="230">
        <v>2439.36</v>
      </c>
      <c r="V101" s="230">
        <v>2447.2800000000002</v>
      </c>
      <c r="W101" s="232">
        <f>IF(V101=0,"NA",(+U101-V101)/V101)</f>
        <v>-3.2362459546925863E-3</v>
      </c>
      <c r="X101" s="892"/>
      <c r="Y101" s="234" t="s">
        <v>397</v>
      </c>
      <c r="Z101" s="234" t="s">
        <v>465</v>
      </c>
      <c r="AA101" s="57" t="s">
        <v>136</v>
      </c>
      <c r="AF101" s="1">
        <f t="shared" si="41"/>
        <v>3361</v>
      </c>
      <c r="AJ101" s="1">
        <f t="shared" si="42"/>
        <v>2439.36</v>
      </c>
    </row>
    <row r="102" spans="1:39" ht="13.5" customHeight="1" outlineLevel="1" x14ac:dyDescent="0.35">
      <c r="A102" s="42">
        <v>109</v>
      </c>
      <c r="C102" s="228" t="s">
        <v>42</v>
      </c>
      <c r="D102" s="238"/>
      <c r="E102" s="239"/>
      <c r="F102" s="240"/>
      <c r="G102" s="240"/>
      <c r="H102" s="240"/>
      <c r="I102" s="240"/>
      <c r="J102" s="240"/>
      <c r="K102" s="240"/>
      <c r="L102" s="240"/>
      <c r="M102" s="240"/>
      <c r="N102" s="240"/>
      <c r="O102" s="276"/>
      <c r="P102" s="225">
        <v>400</v>
      </c>
      <c r="Q102" s="225">
        <v>400</v>
      </c>
      <c r="R102" s="226">
        <f t="shared" si="38"/>
        <v>0</v>
      </c>
      <c r="S102" s="227">
        <f t="shared" si="39"/>
        <v>0</v>
      </c>
      <c r="T102" s="228"/>
      <c r="U102" s="225">
        <v>0</v>
      </c>
      <c r="V102" s="225">
        <v>299.97000000000003</v>
      </c>
      <c r="W102" s="227">
        <f t="shared" si="40"/>
        <v>-1</v>
      </c>
      <c r="X102" s="897"/>
      <c r="Y102" s="897"/>
      <c r="Z102" s="277"/>
      <c r="AA102" s="57" t="s">
        <v>138</v>
      </c>
      <c r="AF102" s="1">
        <f t="shared" si="41"/>
        <v>400</v>
      </c>
      <c r="AJ102" s="1">
        <f t="shared" si="42"/>
        <v>0</v>
      </c>
    </row>
    <row r="103" spans="1:39" ht="13.5" customHeight="1" outlineLevel="1" x14ac:dyDescent="0.35">
      <c r="A103" s="42">
        <v>110</v>
      </c>
      <c r="C103" s="228" t="s">
        <v>43</v>
      </c>
      <c r="D103" s="238"/>
      <c r="E103" s="239"/>
      <c r="F103" s="240"/>
      <c r="G103" s="240"/>
      <c r="H103" s="240"/>
      <c r="I103" s="240"/>
      <c r="J103" s="240"/>
      <c r="K103" s="240"/>
      <c r="L103" s="240"/>
      <c r="M103" s="240"/>
      <c r="N103" s="240"/>
      <c r="O103" s="276"/>
      <c r="P103" s="261">
        <f>+'Band and Other Music'!H32</f>
        <v>17856</v>
      </c>
      <c r="Q103" s="221">
        <f>+'Band and Other Music'!G32</f>
        <v>15060</v>
      </c>
      <c r="R103" s="226">
        <f t="shared" si="38"/>
        <v>2796</v>
      </c>
      <c r="S103" s="227">
        <f t="shared" si="39"/>
        <v>0.1856573705179283</v>
      </c>
      <c r="T103" s="228"/>
      <c r="U103" s="225">
        <v>7960</v>
      </c>
      <c r="V103" s="225">
        <v>10038.780000000001</v>
      </c>
      <c r="W103" s="227">
        <f t="shared" si="40"/>
        <v>-0.20707496329235231</v>
      </c>
      <c r="X103" s="897" t="s">
        <v>756</v>
      </c>
      <c r="Y103" s="987" t="s">
        <v>615</v>
      </c>
      <c r="Z103" s="604" t="s">
        <v>505</v>
      </c>
      <c r="AA103" s="57" t="s">
        <v>137</v>
      </c>
      <c r="AF103" s="1">
        <f t="shared" si="41"/>
        <v>17856</v>
      </c>
      <c r="AJ103" s="1">
        <f t="shared" si="42"/>
        <v>7960</v>
      </c>
    </row>
    <row r="104" spans="1:39" ht="13.5" customHeight="1" outlineLevel="1" x14ac:dyDescent="0.35">
      <c r="A104" s="42">
        <v>110</v>
      </c>
      <c r="C104" s="1210" t="s">
        <v>612</v>
      </c>
      <c r="D104" s="1210"/>
      <c r="E104" s="239"/>
      <c r="F104" s="1096"/>
      <c r="G104" s="240"/>
      <c r="H104" s="240"/>
      <c r="I104" s="240"/>
      <c r="J104" s="240"/>
      <c r="K104" s="240"/>
      <c r="L104" s="240"/>
      <c r="M104" s="240"/>
      <c r="N104" s="240"/>
      <c r="O104" s="276"/>
      <c r="P104" s="261">
        <f>+'Band and Other Music'!H58</f>
        <v>8819</v>
      </c>
      <c r="Q104" s="221">
        <f>+'Band and Other Music'!G58</f>
        <v>7005</v>
      </c>
      <c r="R104" s="226">
        <f>+P104-Q104</f>
        <v>1814</v>
      </c>
      <c r="S104" s="227">
        <f>IF(Q104=0,"NA",(+P104-Q104)/Q104)</f>
        <v>0.25895788722341184</v>
      </c>
      <c r="T104" s="228"/>
      <c r="U104" s="225">
        <v>5650</v>
      </c>
      <c r="V104" s="225">
        <v>5253.75</v>
      </c>
      <c r="W104" s="227">
        <f>IF(V104=0,"NA",(+U104-V104)/V104)</f>
        <v>7.5422317392338803E-2</v>
      </c>
      <c r="X104" s="897" t="s">
        <v>757</v>
      </c>
      <c r="Y104" s="987" t="s">
        <v>647</v>
      </c>
      <c r="Z104" s="229"/>
      <c r="AA104" s="57" t="s">
        <v>137</v>
      </c>
      <c r="AF104" s="1">
        <f t="shared" si="41"/>
        <v>8819</v>
      </c>
      <c r="AJ104" s="1">
        <f t="shared" si="42"/>
        <v>5650</v>
      </c>
    </row>
    <row r="105" spans="1:39" ht="13.5" hidden="1" customHeight="1" outlineLevel="1" x14ac:dyDescent="0.35">
      <c r="C105" s="228" t="s">
        <v>455</v>
      </c>
      <c r="D105" s="238"/>
      <c r="E105" s="239"/>
      <c r="F105" s="240"/>
      <c r="G105" s="240"/>
      <c r="H105" s="240"/>
      <c r="I105" s="240"/>
      <c r="J105" s="240"/>
      <c r="K105" s="240"/>
      <c r="L105" s="240"/>
      <c r="M105" s="240"/>
      <c r="N105" s="240"/>
      <c r="O105" s="276"/>
      <c r="P105" s="261">
        <f>+'Band and Other Music'!G79</f>
        <v>0</v>
      </c>
      <c r="Q105" s="221">
        <f>+'Band and Other Music'!G79</f>
        <v>0</v>
      </c>
      <c r="R105" s="226">
        <f>+P105-Q105</f>
        <v>0</v>
      </c>
      <c r="S105" s="227" t="str">
        <f>IF(Q105=0,"NA",(+P105-Q105)/Q105)</f>
        <v>NA</v>
      </c>
      <c r="T105" s="228"/>
      <c r="U105" s="225">
        <v>0</v>
      </c>
      <c r="V105" s="225">
        <v>0</v>
      </c>
      <c r="W105" s="227" t="str">
        <f>IF(V105=0,"NA",(+U105-V105)/V105)</f>
        <v>NA</v>
      </c>
      <c r="X105" s="897"/>
      <c r="Y105" s="897" t="s">
        <v>595</v>
      </c>
      <c r="Z105" s="769" t="s">
        <v>456</v>
      </c>
      <c r="AA105" s="57"/>
      <c r="AF105" s="1">
        <f t="shared" si="41"/>
        <v>0</v>
      </c>
      <c r="AJ105" s="1">
        <f t="shared" si="42"/>
        <v>0</v>
      </c>
    </row>
    <row r="106" spans="1:39" ht="13.5" customHeight="1" outlineLevel="1" x14ac:dyDescent="0.35">
      <c r="A106" s="42">
        <v>113</v>
      </c>
      <c r="C106" s="233" t="s">
        <v>105</v>
      </c>
      <c r="D106" s="241"/>
      <c r="E106" s="1219" t="str">
        <f>Bud_Yr&amp;" Budget"</f>
        <v>2024 Budget</v>
      </c>
      <c r="F106" s="1220"/>
      <c r="G106" s="1220"/>
      <c r="H106" s="1220"/>
      <c r="I106" s="1220" t="str">
        <f>Bud_Yr-1&amp;" Budget"</f>
        <v>2023 Budget</v>
      </c>
      <c r="J106" s="1220"/>
      <c r="K106" s="1220"/>
      <c r="L106" s="1220"/>
      <c r="M106" s="278">
        <f>Bud_Yr-2</f>
        <v>2022</v>
      </c>
      <c r="N106" s="278">
        <f>+M106-1</f>
        <v>2021</v>
      </c>
      <c r="O106" s="278">
        <f>+N106-1</f>
        <v>2020</v>
      </c>
      <c r="P106" s="246">
        <v>0</v>
      </c>
      <c r="Q106" s="220">
        <v>0</v>
      </c>
      <c r="R106" s="231">
        <f t="shared" si="38"/>
        <v>0</v>
      </c>
      <c r="S106" s="232" t="str">
        <f t="shared" si="39"/>
        <v>NA</v>
      </c>
      <c r="T106" s="233"/>
      <c r="U106" s="230">
        <v>-110</v>
      </c>
      <c r="V106" s="230">
        <v>0</v>
      </c>
      <c r="W106" s="232" t="str">
        <f t="shared" si="40"/>
        <v>NA</v>
      </c>
      <c r="X106" s="892" t="s">
        <v>761</v>
      </c>
      <c r="Y106" s="983" t="s">
        <v>638</v>
      </c>
      <c r="Z106" s="603" t="s">
        <v>463</v>
      </c>
      <c r="AA106" s="57" t="s">
        <v>138</v>
      </c>
      <c r="AF106" s="1">
        <f t="shared" si="41"/>
        <v>0</v>
      </c>
      <c r="AJ106" s="1">
        <f t="shared" si="42"/>
        <v>-110</v>
      </c>
    </row>
    <row r="107" spans="1:39" s="2" customFormat="1" ht="15" outlineLevel="1" thickBot="1" x14ac:dyDescent="0.4">
      <c r="A107" s="42">
        <v>114</v>
      </c>
      <c r="B107" s="23" t="s">
        <v>46</v>
      </c>
      <c r="C107" s="23"/>
      <c r="D107" s="23"/>
      <c r="E107" s="88" t="s">
        <v>148</v>
      </c>
      <c r="F107" s="89" t="s">
        <v>149</v>
      </c>
      <c r="G107" s="89" t="s">
        <v>152</v>
      </c>
      <c r="H107" s="89" t="s">
        <v>147</v>
      </c>
      <c r="I107" s="89" t="s">
        <v>148</v>
      </c>
      <c r="J107" s="89" t="s">
        <v>149</v>
      </c>
      <c r="K107" s="89" t="s">
        <v>152</v>
      </c>
      <c r="L107" s="89" t="s">
        <v>147</v>
      </c>
      <c r="M107" s="90" t="s">
        <v>149</v>
      </c>
      <c r="N107" s="90" t="s">
        <v>149</v>
      </c>
      <c r="O107" s="90" t="s">
        <v>149</v>
      </c>
      <c r="P107" s="23">
        <f>SUM(P100:P106)</f>
        <v>48254</v>
      </c>
      <c r="Q107" s="23">
        <f>SUM(Q100:Q106)</f>
        <v>43027</v>
      </c>
      <c r="R107" s="23">
        <f>SUM(R100:R106)</f>
        <v>5227</v>
      </c>
      <c r="S107" s="24">
        <f t="shared" si="39"/>
        <v>0.12148186022729913</v>
      </c>
      <c r="U107" s="23">
        <f>SUM(U100:U106)</f>
        <v>28913.760000000002</v>
      </c>
      <c r="V107" s="23">
        <f>SUM(V100:V106)</f>
        <v>31014</v>
      </c>
      <c r="W107" s="24">
        <f t="shared" si="40"/>
        <v>-6.7719094602437538E-2</v>
      </c>
      <c r="X107" s="33"/>
      <c r="Y107" s="33"/>
      <c r="Z107" s="69"/>
      <c r="AA107" s="60"/>
      <c r="AB107" s="1"/>
      <c r="AE107" s="2" t="s">
        <v>353</v>
      </c>
      <c r="AF107" s="364">
        <v>0.33300000000000002</v>
      </c>
      <c r="AG107" s="364">
        <v>0.33300000000000002</v>
      </c>
      <c r="AH107" s="364">
        <v>0.33400000000000002</v>
      </c>
      <c r="AI107" s="1"/>
      <c r="AJ107" s="34">
        <f t="shared" ref="AJ107:AL108" si="43">+AF107</f>
        <v>0.33300000000000002</v>
      </c>
      <c r="AK107" s="34">
        <f t="shared" si="43"/>
        <v>0.33300000000000002</v>
      </c>
      <c r="AL107" s="34">
        <f t="shared" si="43"/>
        <v>0.33400000000000002</v>
      </c>
      <c r="AM107" s="1"/>
    </row>
    <row r="108" spans="1:39" ht="19.5" customHeight="1" outlineLevel="1" x14ac:dyDescent="0.35">
      <c r="A108" s="42">
        <v>116</v>
      </c>
      <c r="B108" s="838" t="s">
        <v>47</v>
      </c>
      <c r="O108" s="25"/>
      <c r="P108" s="997"/>
      <c r="Q108" s="25"/>
      <c r="R108" s="25"/>
      <c r="S108" s="4"/>
      <c r="Z108" s="68"/>
      <c r="AA108" s="58"/>
      <c r="AE108" s="1" t="s">
        <v>210</v>
      </c>
      <c r="AF108" s="364">
        <v>0.3</v>
      </c>
      <c r="AG108" s="364">
        <v>0.3</v>
      </c>
      <c r="AH108" s="364">
        <v>0.3</v>
      </c>
      <c r="AI108" s="364">
        <v>0.1</v>
      </c>
      <c r="AJ108" s="34">
        <f t="shared" si="43"/>
        <v>0.3</v>
      </c>
      <c r="AK108" s="34">
        <f t="shared" si="43"/>
        <v>0.3</v>
      </c>
      <c r="AL108" s="34">
        <f t="shared" si="43"/>
        <v>0.3</v>
      </c>
    </row>
    <row r="109" spans="1:39" ht="13.5" customHeight="1" outlineLevel="1" x14ac:dyDescent="0.35">
      <c r="C109" s="373" t="s">
        <v>295</v>
      </c>
      <c r="D109" s="374"/>
      <c r="E109" s="763">
        <v>40</v>
      </c>
      <c r="F109" s="1159">
        <f>ROUNDUP(+J109*(1+F$70+0.02),1)</f>
        <v>23.1</v>
      </c>
      <c r="G109" s="763">
        <v>52</v>
      </c>
      <c r="H109" s="1022">
        <f>+IF(J109=0,"NA",ROUND((F109-J109)/J109,3))</f>
        <v>0.05</v>
      </c>
      <c r="I109" s="763">
        <v>52</v>
      </c>
      <c r="J109" s="764">
        <v>22</v>
      </c>
      <c r="K109" s="763">
        <v>52</v>
      </c>
      <c r="L109" s="379">
        <f>IF(M109=0,0,(+K109-M109)/M109)</f>
        <v>1.609131961866533</v>
      </c>
      <c r="M109" s="764">
        <v>19.93</v>
      </c>
      <c r="N109" s="764">
        <v>17.690000000000001</v>
      </c>
      <c r="O109" s="765">
        <v>17</v>
      </c>
      <c r="P109" s="767">
        <f>ROUND(E109*F109*G109,0)</f>
        <v>48048</v>
      </c>
      <c r="Q109" s="381">
        <v>45760</v>
      </c>
      <c r="R109" s="378">
        <f>+P109-Q109</f>
        <v>2288</v>
      </c>
      <c r="S109" s="379">
        <f>IF(Q109=0,"NA",(+P109-Q109)/Q109)</f>
        <v>0.05</v>
      </c>
      <c r="T109" s="373"/>
      <c r="U109" s="377">
        <v>33338.129999999997</v>
      </c>
      <c r="V109" s="377">
        <v>34319.97</v>
      </c>
      <c r="W109" s="379">
        <f>IF(V109=0,"NA",(+U109-V109)/V109)</f>
        <v>-2.8608416615748901E-2</v>
      </c>
      <c r="X109" s="896"/>
      <c r="Y109" s="985" t="s">
        <v>600</v>
      </c>
      <c r="Z109" s="510" t="s">
        <v>470</v>
      </c>
      <c r="AA109" s="768"/>
      <c r="AB109" s="373"/>
      <c r="AC109" s="373"/>
      <c r="AD109" s="373"/>
      <c r="AE109" s="373"/>
      <c r="AF109" s="373">
        <f>+$P109*AF$108</f>
        <v>14414.4</v>
      </c>
      <c r="AG109" s="373">
        <f>+$P109*AG$108</f>
        <v>14414.4</v>
      </c>
      <c r="AH109" s="373">
        <f>+$P109*AH$108</f>
        <v>14414.4</v>
      </c>
      <c r="AI109" s="373">
        <f>+$P109*AI$108</f>
        <v>4804.8</v>
      </c>
      <c r="AJ109" s="373">
        <f t="shared" ref="AJ109:AL109" si="44">+$U109*AJ$107</f>
        <v>11101.59729</v>
      </c>
      <c r="AK109" s="373">
        <f t="shared" si="44"/>
        <v>11101.59729</v>
      </c>
      <c r="AL109" s="373">
        <f t="shared" si="44"/>
        <v>11134.93542</v>
      </c>
    </row>
    <row r="110" spans="1:39" ht="13.5" customHeight="1" outlineLevel="1" x14ac:dyDescent="0.35">
      <c r="A110" s="42">
        <v>118</v>
      </c>
      <c r="C110" s="228" t="s">
        <v>49</v>
      </c>
      <c r="D110" s="238"/>
      <c r="E110" s="283">
        <v>25</v>
      </c>
      <c r="F110" s="1160">
        <f>ROUNDUP(+J110*(1+F$70),1)</f>
        <v>18.200000000000003</v>
      </c>
      <c r="G110" s="279">
        <v>52</v>
      </c>
      <c r="H110" s="281">
        <f>+IF(J110=0,"NA",ROUND((F110-J110)/J110,3))</f>
        <v>3.1E-2</v>
      </c>
      <c r="I110" s="279">
        <v>25</v>
      </c>
      <c r="J110" s="280">
        <v>17.649999999999999</v>
      </c>
      <c r="K110" s="279">
        <v>52</v>
      </c>
      <c r="L110" s="227">
        <f>IF(M110=0,0,(+J110-M110)/M110)</f>
        <v>0.10312499999999991</v>
      </c>
      <c r="M110" s="280">
        <v>16</v>
      </c>
      <c r="N110" s="280">
        <v>13.78</v>
      </c>
      <c r="O110" s="280">
        <v>13.64</v>
      </c>
      <c r="P110" s="261">
        <f>ROUND((E110*F110*G110)+(E111*F111*G111)+(E112*F112*G112)+(E113*F113*G113),0)</f>
        <v>36868</v>
      </c>
      <c r="Q110" s="245">
        <v>35685</v>
      </c>
      <c r="R110" s="226">
        <f t="shared" ref="R110:R120" si="45">+P110-Q110</f>
        <v>1183</v>
      </c>
      <c r="S110" s="227">
        <f t="shared" ref="S110:S122" si="46">IF(Q110=0,"NA",(+P110-Q110)/Q110)</f>
        <v>3.3151183970856105E-2</v>
      </c>
      <c r="T110" s="228"/>
      <c r="U110" s="245">
        <v>22110.22</v>
      </c>
      <c r="V110" s="225">
        <v>26763.75</v>
      </c>
      <c r="W110" s="227">
        <f t="shared" ref="W110:W122" si="47">IF(V110=0,"NA",(+U110-V110)/V110)</f>
        <v>-0.1738743636448554</v>
      </c>
      <c r="X110" s="897"/>
      <c r="Y110" s="984" t="s">
        <v>624</v>
      </c>
      <c r="Z110" s="842" t="s">
        <v>469</v>
      </c>
      <c r="AA110" s="57" t="s">
        <v>116</v>
      </c>
      <c r="AI110" s="1">
        <f>+$P110</f>
        <v>36868</v>
      </c>
      <c r="AM110" s="1">
        <f>+$U110</f>
        <v>22110.22</v>
      </c>
    </row>
    <row r="111" spans="1:39" ht="13.5" hidden="1" customHeight="1" outlineLevel="2" x14ac:dyDescent="0.35">
      <c r="C111" s="228"/>
      <c r="D111" s="238"/>
      <c r="E111" s="283">
        <v>20</v>
      </c>
      <c r="F111" s="1160">
        <f>ROUNDUP(+J111*(1+F$70),1)</f>
        <v>12.7</v>
      </c>
      <c r="G111" s="279">
        <v>52</v>
      </c>
      <c r="H111" s="281">
        <f>+IF(J111=0,"NA",ROUND((F111-J111)/J111,3))</f>
        <v>3.6999999999999998E-2</v>
      </c>
      <c r="I111" s="279">
        <v>20</v>
      </c>
      <c r="J111" s="280">
        <v>12.25</v>
      </c>
      <c r="K111" s="279">
        <v>52</v>
      </c>
      <c r="L111" s="227">
        <f>IF(M111=0,0,(+J111-M111)/M111)</f>
        <v>3.2883642495784196E-2</v>
      </c>
      <c r="M111" s="280">
        <v>11.86</v>
      </c>
      <c r="N111" s="280">
        <v>11.57</v>
      </c>
      <c r="O111" s="280">
        <v>13.64</v>
      </c>
      <c r="P111" s="261"/>
      <c r="Q111" s="261"/>
      <c r="R111" s="226"/>
      <c r="S111" s="227"/>
      <c r="T111" s="228"/>
      <c r="U111" s="245"/>
      <c r="V111" s="225"/>
      <c r="W111" s="227"/>
      <c r="X111" s="897"/>
      <c r="Y111" s="984" t="s">
        <v>584</v>
      </c>
      <c r="Z111" s="229" t="str">
        <f>"Rebecca Arreola:  "&amp;Bud_Yr&amp;":  avg "&amp;E111&amp;" hrs/week at $"&amp;F111&amp;"/hr ("&amp;ROUND(H111*100,1)&amp;"% incr.) for "&amp;G111&amp;" weeks.                                    "&amp;Bud_Yr-1&amp;":  avg "&amp;I111&amp;" hrs/week at $"&amp;J111&amp;"/hr ("&amp;ROUND(L111*100,1)&amp;"% incr.) for "&amp;K111&amp;" weeks.   "&amp;Bud_Yr-2&amp;":  $"&amp;M111&amp;"/hour."</f>
        <v>Rebecca Arreola:  2024:  avg 20 hrs/week at $12.7/hr (3.7% incr.) for 52 weeks.                                    2023:  avg 20 hrs/week at $12.25/hr (3.3% incr.) for 52 weeks.   2022:  $11.86/hour.</v>
      </c>
      <c r="AA111" s="57"/>
      <c r="AC111" s="72"/>
    </row>
    <row r="112" spans="1:39" ht="13.5" hidden="1" customHeight="1" outlineLevel="2" x14ac:dyDescent="0.35">
      <c r="C112" s="228"/>
      <c r="D112" s="238"/>
      <c r="E112" s="283">
        <v>0</v>
      </c>
      <c r="F112" s="764">
        <v>0</v>
      </c>
      <c r="G112" s="279">
        <v>52</v>
      </c>
      <c r="H112" s="281">
        <f>+IF(J112=0,"NA",ROUND((F112-J112)/J112,3))</f>
        <v>-1</v>
      </c>
      <c r="I112" s="283">
        <v>7.5</v>
      </c>
      <c r="J112" s="280">
        <v>13.33</v>
      </c>
      <c r="K112" s="279">
        <v>52</v>
      </c>
      <c r="L112" s="227">
        <f>IF(M112=0,0,(+J112-M112)/M112)</f>
        <v>0.21181818181818182</v>
      </c>
      <c r="M112" s="280">
        <v>11</v>
      </c>
      <c r="N112" s="280">
        <v>11.22</v>
      </c>
      <c r="O112" s="280">
        <v>11.22</v>
      </c>
      <c r="P112" s="261"/>
      <c r="Q112" s="261"/>
      <c r="R112" s="226"/>
      <c r="S112" s="227"/>
      <c r="T112" s="228"/>
      <c r="U112" s="245"/>
      <c r="V112" s="225"/>
      <c r="W112" s="227"/>
      <c r="X112" s="897"/>
      <c r="Y112" s="984" t="s">
        <v>599</v>
      </c>
      <c r="Z112" s="229" t="str">
        <f>"Glenn Napier took on Lead responsibilities and received a raise in 2021.  No increrase for 2022: "&amp;Bud_Yr&amp;":  avg "&amp;E112&amp;" hrs/week at $"&amp;F112&amp;"/hr ("&amp;ROUND(H112*100,1)&amp;"% incr.) for "&amp;G112&amp;" weeks. "&amp;Bud_Yr-1&amp;":  avg "&amp;I112&amp;" hrs/week at $"&amp;J112&amp;"/hr ("&amp;ROUND(L112*100,1)&amp;"% incr.) for "&amp;K112&amp;" weeks.   "&amp;Bud_Yr-2&amp;":  $"&amp;M112&amp;"/hour."</f>
        <v>Glenn Napier took on Lead responsibilities and received a raise in 2021.  No increrase for 2022: 2024:  avg 0 hrs/week at $0/hr (-100% incr.) for 52 weeks. 2023:  avg 7.5 hrs/week at $13.33/hr (21.2% incr.) for 52 weeks.   2022:  $11/hour.</v>
      </c>
      <c r="AA112" s="57"/>
      <c r="AC112" s="72"/>
    </row>
    <row r="113" spans="1:39" ht="13.5" hidden="1" customHeight="1" outlineLevel="2" x14ac:dyDescent="0.35">
      <c r="C113" s="228"/>
      <c r="D113" s="238"/>
      <c r="E113" s="283">
        <v>0</v>
      </c>
      <c r="F113" s="764">
        <v>0</v>
      </c>
      <c r="G113" s="279">
        <v>52</v>
      </c>
      <c r="H113" s="281">
        <f>+IF(J113=0,"NA",ROUND((F113-J113)/J113,3))</f>
        <v>-1</v>
      </c>
      <c r="I113" s="283">
        <v>0</v>
      </c>
      <c r="J113" s="280">
        <v>11</v>
      </c>
      <c r="K113" s="279">
        <v>0</v>
      </c>
      <c r="L113" s="227">
        <f>IF(M113=0,0,(+J113-M113)/M113)</f>
        <v>0</v>
      </c>
      <c r="M113" s="280">
        <v>0</v>
      </c>
      <c r="N113" s="280">
        <v>0</v>
      </c>
      <c r="O113" s="280">
        <v>0</v>
      </c>
      <c r="P113" s="261"/>
      <c r="Q113" s="261"/>
      <c r="R113" s="226"/>
      <c r="S113" s="227"/>
      <c r="T113" s="228"/>
      <c r="U113" s="245"/>
      <c r="V113" s="225"/>
      <c r="W113" s="227"/>
      <c r="X113" s="897"/>
      <c r="Y113" s="897"/>
      <c r="Z113" s="229" t="str">
        <f>"Additional help to support and back up Glenn "&amp;Bud_Yr&amp;":  avg "&amp;E113&amp;" hrs/week at $"&amp;F113&amp;"/hr for "&amp;G113&amp;" weeks. "</f>
        <v xml:space="preserve">Additional help to support and back up Glenn 2024:  avg 0 hrs/week at $0/hr for 52 weeks. </v>
      </c>
      <c r="AA113" s="57"/>
      <c r="AC113" s="72"/>
    </row>
    <row r="114" spans="1:39" ht="13.5" customHeight="1" outlineLevel="1" collapsed="1" x14ac:dyDescent="0.35">
      <c r="A114" s="42">
        <v>119</v>
      </c>
      <c r="C114" s="228" t="s">
        <v>50</v>
      </c>
      <c r="D114" s="238"/>
      <c r="E114" s="239"/>
      <c r="F114" s="240"/>
      <c r="G114" s="240"/>
      <c r="H114" s="240"/>
      <c r="I114" s="240"/>
      <c r="J114" s="240"/>
      <c r="K114" s="240"/>
      <c r="L114" s="240"/>
      <c r="M114" s="240"/>
      <c r="N114" s="240"/>
      <c r="O114" s="228"/>
      <c r="P114" s="245">
        <v>800</v>
      </c>
      <c r="Q114" s="225">
        <v>200</v>
      </c>
      <c r="R114" s="226">
        <f t="shared" si="45"/>
        <v>600</v>
      </c>
      <c r="S114" s="227">
        <f t="shared" si="46"/>
        <v>3</v>
      </c>
      <c r="T114" s="228"/>
      <c r="U114" s="245">
        <v>0</v>
      </c>
      <c r="V114" s="225">
        <v>150.03</v>
      </c>
      <c r="W114" s="227">
        <f t="shared" si="47"/>
        <v>-1</v>
      </c>
      <c r="X114" s="897" t="s">
        <v>812</v>
      </c>
      <c r="Y114" s="984" t="s">
        <v>601</v>
      </c>
      <c r="Z114" s="229"/>
      <c r="AA114" s="61"/>
      <c r="AF114" s="1">
        <f t="shared" ref="AF114:AH115" si="48">+$P114*AF$107</f>
        <v>266.40000000000003</v>
      </c>
      <c r="AG114" s="1">
        <f t="shared" si="48"/>
        <v>266.40000000000003</v>
      </c>
      <c r="AH114" s="1">
        <f t="shared" si="48"/>
        <v>267.2</v>
      </c>
      <c r="AJ114" s="1">
        <f t="shared" ref="AJ114:AL115" si="49">+$U114*AJ$107</f>
        <v>0</v>
      </c>
      <c r="AK114" s="1">
        <f t="shared" si="49"/>
        <v>0</v>
      </c>
      <c r="AL114" s="1">
        <f t="shared" si="49"/>
        <v>0</v>
      </c>
    </row>
    <row r="115" spans="1:39" ht="13.5" customHeight="1" outlineLevel="1" x14ac:dyDescent="0.35">
      <c r="A115" s="42">
        <v>120</v>
      </c>
      <c r="C115" s="228" t="s">
        <v>94</v>
      </c>
      <c r="D115" s="238"/>
      <c r="E115" s="239"/>
      <c r="F115" s="240"/>
      <c r="G115" s="240"/>
      <c r="H115" s="240"/>
      <c r="I115" s="240"/>
      <c r="J115" s="240"/>
      <c r="K115" s="240"/>
      <c r="L115" s="240"/>
      <c r="M115" s="240"/>
      <c r="N115" s="240"/>
      <c r="O115" s="228"/>
      <c r="P115" s="245">
        <v>800</v>
      </c>
      <c r="Q115" s="225">
        <v>700</v>
      </c>
      <c r="R115" s="226">
        <f t="shared" si="45"/>
        <v>100</v>
      </c>
      <c r="S115" s="227">
        <f t="shared" si="46"/>
        <v>0.14285714285714285</v>
      </c>
      <c r="T115" s="228"/>
      <c r="U115" s="225">
        <v>81</v>
      </c>
      <c r="V115" s="225">
        <v>524.97</v>
      </c>
      <c r="W115" s="227">
        <f t="shared" si="47"/>
        <v>-0.84570546888393627</v>
      </c>
      <c r="X115" s="897"/>
      <c r="Y115" s="984" t="s">
        <v>602</v>
      </c>
      <c r="Z115" s="229" t="s">
        <v>457</v>
      </c>
      <c r="AA115" s="61"/>
      <c r="AB115" s="2"/>
      <c r="AF115" s="1">
        <f t="shared" si="48"/>
        <v>266.40000000000003</v>
      </c>
      <c r="AG115" s="1">
        <f t="shared" si="48"/>
        <v>266.40000000000003</v>
      </c>
      <c r="AH115" s="1">
        <f t="shared" si="48"/>
        <v>267.2</v>
      </c>
      <c r="AJ115" s="1">
        <f t="shared" si="49"/>
        <v>26.973000000000003</v>
      </c>
      <c r="AK115" s="1">
        <f t="shared" si="49"/>
        <v>26.973000000000003</v>
      </c>
      <c r="AL115" s="1">
        <f t="shared" si="49"/>
        <v>27.054000000000002</v>
      </c>
    </row>
    <row r="116" spans="1:39" ht="13.5" hidden="1" customHeight="1" outlineLevel="1" x14ac:dyDescent="0.35">
      <c r="C116" s="228" t="s">
        <v>110</v>
      </c>
      <c r="D116" s="238"/>
      <c r="E116" s="239"/>
      <c r="F116" s="240"/>
      <c r="G116" s="240"/>
      <c r="H116" s="284"/>
      <c r="I116" s="284"/>
      <c r="J116" s="284"/>
      <c r="K116" s="284"/>
      <c r="L116" s="284"/>
      <c r="M116" s="284"/>
      <c r="N116" s="284"/>
      <c r="O116" s="285"/>
      <c r="P116" s="261">
        <f>+'Band and Other Music'!G67</f>
        <v>0</v>
      </c>
      <c r="Q116" s="225">
        <v>0</v>
      </c>
      <c r="R116" s="226">
        <f t="shared" si="45"/>
        <v>0</v>
      </c>
      <c r="S116" s="227" t="str">
        <f>IF(Q116=0,"NA",(+P116-Q116)/Q116)</f>
        <v>NA</v>
      </c>
      <c r="T116" s="228"/>
      <c r="U116" s="245">
        <v>0</v>
      </c>
      <c r="V116" s="225">
        <v>0</v>
      </c>
      <c r="W116" s="227" t="str">
        <f>IF(V116=0,"NA",(+U116-V116)/V116)</f>
        <v>NA</v>
      </c>
      <c r="X116" s="897"/>
      <c r="Y116" s="984" t="s">
        <v>625</v>
      </c>
      <c r="Z116" s="229" t="s">
        <v>289</v>
      </c>
      <c r="AA116" s="57" t="s">
        <v>125</v>
      </c>
      <c r="AF116" s="1">
        <f>+$P116</f>
        <v>0</v>
      </c>
      <c r="AJ116" s="1">
        <f>+$U116</f>
        <v>0</v>
      </c>
    </row>
    <row r="117" spans="1:39" ht="13.5" customHeight="1" outlineLevel="1" x14ac:dyDescent="0.35">
      <c r="C117" s="1209" t="s">
        <v>642</v>
      </c>
      <c r="D117" s="1209"/>
      <c r="E117" s="279"/>
      <c r="F117" s="739"/>
      <c r="G117" s="279"/>
      <c r="H117" s="281"/>
      <c r="I117" s="279"/>
      <c r="J117" s="280"/>
      <c r="K117" s="279"/>
      <c r="L117" s="227"/>
      <c r="M117" s="280"/>
      <c r="N117" s="280"/>
      <c r="O117" s="280"/>
      <c r="P117" s="770">
        <v>0</v>
      </c>
      <c r="Q117" s="245">
        <v>18670</v>
      </c>
      <c r="R117" s="226">
        <f>+P117-Q117</f>
        <v>-18670</v>
      </c>
      <c r="S117" s="227">
        <f>IF(Q117=0,"NA",(+P117-Q117)/Q117)</f>
        <v>-1</v>
      </c>
      <c r="T117" s="228"/>
      <c r="U117" s="245">
        <v>4800</v>
      </c>
      <c r="V117" s="225">
        <v>18670</v>
      </c>
      <c r="W117" s="227">
        <f>IF(V117=0,"NA",(+U117-V117)/V117)</f>
        <v>-0.74290305302624526</v>
      </c>
      <c r="X117" s="897"/>
      <c r="Y117" s="984" t="s">
        <v>666</v>
      </c>
      <c r="Z117" s="271"/>
      <c r="AA117" s="58"/>
      <c r="AB117" s="38"/>
      <c r="AF117" s="1">
        <f t="shared" ref="AF117:AH119" si="50">+$P117*AF$107</f>
        <v>0</v>
      </c>
      <c r="AG117" s="1">
        <f t="shared" si="50"/>
        <v>0</v>
      </c>
      <c r="AH117" s="1">
        <f t="shared" si="50"/>
        <v>0</v>
      </c>
      <c r="AJ117" s="1">
        <f t="shared" ref="AJ117:AL119" si="51">+$U117*AJ$107</f>
        <v>1598.4</v>
      </c>
      <c r="AK117" s="1">
        <f t="shared" si="51"/>
        <v>1598.4</v>
      </c>
      <c r="AL117" s="1">
        <f t="shared" si="51"/>
        <v>1603.2</v>
      </c>
    </row>
    <row r="118" spans="1:39" ht="13.5" customHeight="1" outlineLevel="1" x14ac:dyDescent="0.35">
      <c r="A118" s="42">
        <v>123</v>
      </c>
      <c r="C118" s="228" t="s">
        <v>51</v>
      </c>
      <c r="D118" s="238"/>
      <c r="E118" s="287"/>
      <c r="F118" s="409"/>
      <c r="G118" s="287"/>
      <c r="H118" s="287"/>
      <c r="I118" s="287"/>
      <c r="J118" s="288"/>
      <c r="K118" s="289"/>
      <c r="L118" s="289"/>
      <c r="M118" s="290">
        <v>7.6499999999999999E-2</v>
      </c>
      <c r="N118" s="290"/>
      <c r="O118" s="228"/>
      <c r="P118" s="245">
        <f>ROUND((+P98+P107+P109+P110+P116+P120)*$M118,0)+4</f>
        <v>12355</v>
      </c>
      <c r="Q118" s="245">
        <v>9603</v>
      </c>
      <c r="R118" s="226">
        <f>+P118-Q118</f>
        <v>2752</v>
      </c>
      <c r="S118" s="227">
        <f t="shared" si="46"/>
        <v>0.28657711131937935</v>
      </c>
      <c r="T118" s="228"/>
      <c r="U118" s="245">
        <v>5569.91</v>
      </c>
      <c r="V118" s="245">
        <v>7202.25</v>
      </c>
      <c r="W118" s="227">
        <f t="shared" si="47"/>
        <v>-0.22664306293172273</v>
      </c>
      <c r="X118" s="897"/>
      <c r="Y118" s="982"/>
      <c r="Z118" s="277" t="s">
        <v>275</v>
      </c>
      <c r="AA118" s="61" t="s">
        <v>126</v>
      </c>
      <c r="AB118" s="45"/>
      <c r="AF118" s="1">
        <f t="shared" si="50"/>
        <v>4114.2150000000001</v>
      </c>
      <c r="AG118" s="1">
        <f t="shared" si="50"/>
        <v>4114.2150000000001</v>
      </c>
      <c r="AH118" s="1">
        <f t="shared" si="50"/>
        <v>4126.5700000000006</v>
      </c>
      <c r="AJ118" s="1">
        <f t="shared" si="51"/>
        <v>1854.7800300000001</v>
      </c>
      <c r="AK118" s="1">
        <f t="shared" si="51"/>
        <v>1854.7800300000001</v>
      </c>
      <c r="AL118" s="1">
        <f t="shared" si="51"/>
        <v>1860.3499400000001</v>
      </c>
    </row>
    <row r="119" spans="1:39" ht="13.5" customHeight="1" outlineLevel="1" x14ac:dyDescent="0.35">
      <c r="A119" s="42">
        <v>124</v>
      </c>
      <c r="C119" s="228" t="s">
        <v>52</v>
      </c>
      <c r="D119" s="238"/>
      <c r="E119" s="239"/>
      <c r="F119" s="410"/>
      <c r="G119" s="410"/>
      <c r="H119" s="410"/>
      <c r="I119" s="240"/>
      <c r="J119" s="240"/>
      <c r="K119" s="240"/>
      <c r="L119" s="240"/>
      <c r="M119" s="240"/>
      <c r="N119" s="240"/>
      <c r="O119" s="228"/>
      <c r="P119" s="245">
        <f>845.5*5</f>
        <v>4227.5</v>
      </c>
      <c r="Q119" s="245">
        <v>3382</v>
      </c>
      <c r="R119" s="226">
        <f t="shared" si="45"/>
        <v>845.5</v>
      </c>
      <c r="S119" s="227">
        <f t="shared" si="46"/>
        <v>0.25</v>
      </c>
      <c r="T119" s="228"/>
      <c r="U119" s="245">
        <v>2155.5</v>
      </c>
      <c r="V119" s="245">
        <v>2536.5</v>
      </c>
      <c r="W119" s="227">
        <f t="shared" si="47"/>
        <v>-0.15020697811945594</v>
      </c>
      <c r="X119" s="899"/>
      <c r="Y119" s="899" t="s">
        <v>654</v>
      </c>
      <c r="Z119" s="762" t="s">
        <v>506</v>
      </c>
      <c r="AA119" s="61" t="s">
        <v>127</v>
      </c>
      <c r="AB119" s="45"/>
      <c r="AF119" s="1">
        <f t="shared" si="50"/>
        <v>1407.7575000000002</v>
      </c>
      <c r="AG119" s="1">
        <f t="shared" si="50"/>
        <v>1407.7575000000002</v>
      </c>
      <c r="AH119" s="1">
        <f t="shared" si="50"/>
        <v>1411.9850000000001</v>
      </c>
      <c r="AJ119" s="1">
        <f t="shared" si="51"/>
        <v>717.78150000000005</v>
      </c>
      <c r="AK119" s="1">
        <f t="shared" si="51"/>
        <v>717.78150000000005</v>
      </c>
      <c r="AL119" s="1">
        <f t="shared" si="51"/>
        <v>719.93700000000001</v>
      </c>
    </row>
    <row r="120" spans="1:39" ht="24.5" customHeight="1" outlineLevel="1" x14ac:dyDescent="0.35">
      <c r="A120" s="42">
        <v>125</v>
      </c>
      <c r="C120" s="228" t="s">
        <v>53</v>
      </c>
      <c r="D120" s="238"/>
      <c r="P120" s="53">
        <f>(175+50+50)*6</f>
        <v>1650</v>
      </c>
      <c r="Q120" s="51">
        <v>1000</v>
      </c>
      <c r="R120" s="37">
        <f t="shared" si="45"/>
        <v>650</v>
      </c>
      <c r="S120" s="3">
        <f t="shared" si="46"/>
        <v>0.65</v>
      </c>
      <c r="U120" s="53">
        <v>5670.72</v>
      </c>
      <c r="V120" s="53">
        <v>749.97</v>
      </c>
      <c r="W120" s="3">
        <f t="shared" si="47"/>
        <v>6.5612624504980195</v>
      </c>
      <c r="X120" s="1413" t="s">
        <v>808</v>
      </c>
      <c r="Y120" s="988" t="s">
        <v>653</v>
      </c>
      <c r="Z120" s="854" t="s">
        <v>530</v>
      </c>
      <c r="AA120" s="57"/>
      <c r="AF120" s="1">
        <f>+$P120</f>
        <v>1650</v>
      </c>
      <c r="AJ120" s="1">
        <f>+$U120</f>
        <v>5670.72</v>
      </c>
    </row>
    <row r="121" spans="1:39" s="2" customFormat="1" outlineLevel="1" x14ac:dyDescent="0.35">
      <c r="A121" s="42">
        <v>127</v>
      </c>
      <c r="B121" s="23" t="s">
        <v>48</v>
      </c>
      <c r="C121" s="23"/>
      <c r="D121" s="23"/>
      <c r="E121" s="83"/>
      <c r="F121" s="83"/>
      <c r="G121" s="83"/>
      <c r="H121" s="83"/>
      <c r="I121" s="83"/>
      <c r="J121" s="83"/>
      <c r="K121" s="83"/>
      <c r="L121" s="83"/>
      <c r="M121" s="83"/>
      <c r="N121" s="83"/>
      <c r="O121" s="23"/>
      <c r="P121" s="23">
        <f>SUM(P109:P120)</f>
        <v>104748.5</v>
      </c>
      <c r="Q121" s="23">
        <f>SUM(Q109:Q120)</f>
        <v>115000</v>
      </c>
      <c r="R121" s="23">
        <f>SUM(R109:R120)</f>
        <v>-10251.5</v>
      </c>
      <c r="S121" s="24">
        <f t="shared" si="46"/>
        <v>-8.914347826086956E-2</v>
      </c>
      <c r="U121" s="23">
        <f>SUM(U109:U120)</f>
        <v>73725.48</v>
      </c>
      <c r="V121" s="23">
        <f>SUM(V109:V120)</f>
        <v>90917.440000000002</v>
      </c>
      <c r="W121" s="24">
        <f t="shared" si="47"/>
        <v>-0.18909419358926083</v>
      </c>
      <c r="X121" s="33"/>
      <c r="Y121" s="33"/>
      <c r="Z121" s="69"/>
      <c r="AA121" s="60"/>
      <c r="AB121" s="25"/>
    </row>
    <row r="122" spans="1:39" x14ac:dyDescent="0.35">
      <c r="A122" s="42">
        <v>128</v>
      </c>
      <c r="B122" s="23" t="s">
        <v>54</v>
      </c>
      <c r="C122" s="23"/>
      <c r="D122" s="23"/>
      <c r="E122" s="83"/>
      <c r="F122" s="24"/>
      <c r="G122" s="24"/>
      <c r="H122" s="24"/>
      <c r="I122" s="24"/>
      <c r="J122" s="24"/>
      <c r="K122" s="24"/>
      <c r="L122" s="24"/>
      <c r="M122" s="24"/>
      <c r="N122" s="24"/>
      <c r="O122" s="33"/>
      <c r="P122" s="23">
        <f>+P82+P94+P98+P107+P121</f>
        <v>274765.576</v>
      </c>
      <c r="Q122" s="23">
        <f>+Q82+Q94+Q98+Q107+Q121</f>
        <v>284616</v>
      </c>
      <c r="R122" s="23">
        <f>+R82+R94+R98+R107+R121</f>
        <v>-9850.4239999999991</v>
      </c>
      <c r="S122" s="24">
        <f t="shared" si="46"/>
        <v>-3.4609523006436736E-2</v>
      </c>
      <c r="U122" s="23">
        <f>+U82+U94+U98+U107+U121</f>
        <v>145204.91999999998</v>
      </c>
      <c r="V122" s="23">
        <f>+V82+V94+V98+V107+V121</f>
        <v>215945</v>
      </c>
      <c r="W122" s="24">
        <f t="shared" si="47"/>
        <v>-0.32758378290768492</v>
      </c>
      <c r="X122" s="33"/>
      <c r="Y122" s="33"/>
      <c r="Z122" s="68"/>
      <c r="AA122" s="58"/>
      <c r="AB122" s="25"/>
    </row>
    <row r="123" spans="1:39" ht="23" customHeight="1" x14ac:dyDescent="0.35">
      <c r="A123" s="42">
        <v>130</v>
      </c>
      <c r="B123" s="6" t="s">
        <v>55</v>
      </c>
      <c r="S123" s="4"/>
      <c r="Z123" s="68"/>
      <c r="AA123" s="58"/>
    </row>
    <row r="124" spans="1:39" ht="19.5" customHeight="1" x14ac:dyDescent="0.35">
      <c r="A124" s="42">
        <v>131</v>
      </c>
      <c r="B124" s="838" t="s">
        <v>56</v>
      </c>
      <c r="E124" s="1097"/>
      <c r="F124" s="1098"/>
      <c r="S124" s="4"/>
      <c r="Y124" s="937"/>
      <c r="Z124" s="68"/>
      <c r="AA124" s="58"/>
    </row>
    <row r="125" spans="1:39" ht="13.5" customHeight="1" x14ac:dyDescent="0.35">
      <c r="A125" s="42">
        <v>132</v>
      </c>
      <c r="C125" s="373" t="s">
        <v>58</v>
      </c>
      <c r="D125" s="374"/>
      <c r="E125" s="375"/>
      <c r="F125" s="376"/>
      <c r="G125" s="376"/>
      <c r="H125" s="376"/>
      <c r="I125" s="376"/>
      <c r="J125" s="376"/>
      <c r="K125" s="376"/>
      <c r="L125" s="376"/>
      <c r="M125" s="376"/>
      <c r="N125" s="376"/>
      <c r="O125" s="373"/>
      <c r="P125" s="381">
        <v>13000</v>
      </c>
      <c r="Q125" s="381">
        <v>12000</v>
      </c>
      <c r="R125" s="378">
        <f t="shared" ref="R125:R130" si="52">+P125-Q125</f>
        <v>1000</v>
      </c>
      <c r="S125" s="379">
        <f t="shared" ref="S125:S131" si="53">IF(Q125=0,"NA",(+P125-Q125)/Q125)</f>
        <v>8.3333333333333329E-2</v>
      </c>
      <c r="T125" s="373"/>
      <c r="U125" s="377">
        <v>9751.02</v>
      </c>
      <c r="V125" s="377">
        <v>9000</v>
      </c>
      <c r="W125" s="379">
        <f t="shared" ref="W125:W131" si="54">IF(V125=0,"NA",(+U125-V125)/V125)</f>
        <v>8.3446666666666711E-2</v>
      </c>
      <c r="X125" s="896"/>
      <c r="Y125" s="985" t="s">
        <v>640</v>
      </c>
      <c r="Z125" s="762" t="s">
        <v>458</v>
      </c>
      <c r="AA125" s="57" t="s">
        <v>128</v>
      </c>
      <c r="AI125" s="1">
        <f t="shared" ref="AI125:AI130" si="55">+$P125</f>
        <v>13000</v>
      </c>
      <c r="AM125" s="1">
        <f t="shared" ref="AM125:AM130" si="56">+$U125</f>
        <v>9751.02</v>
      </c>
    </row>
    <row r="126" spans="1:39" ht="13.5" customHeight="1" x14ac:dyDescent="0.35">
      <c r="A126" s="42">
        <v>133</v>
      </c>
      <c r="C126" s="228" t="s">
        <v>59</v>
      </c>
      <c r="D126" s="238"/>
      <c r="E126" s="238"/>
      <c r="F126" s="238"/>
      <c r="G126" s="238"/>
      <c r="H126" s="238"/>
      <c r="I126" s="238"/>
      <c r="J126" s="238"/>
      <c r="K126" s="238"/>
      <c r="L126" s="238"/>
      <c r="M126" s="238"/>
      <c r="N126" s="238"/>
      <c r="O126" s="238"/>
      <c r="P126" s="245">
        <v>12000</v>
      </c>
      <c r="Q126" s="245">
        <f>700*12</f>
        <v>8400</v>
      </c>
      <c r="R126" s="226">
        <f t="shared" si="52"/>
        <v>3600</v>
      </c>
      <c r="S126" s="227">
        <f t="shared" si="53"/>
        <v>0.42857142857142855</v>
      </c>
      <c r="T126" s="228"/>
      <c r="U126" s="225">
        <v>10443.530000000001</v>
      </c>
      <c r="V126" s="225">
        <v>6300</v>
      </c>
      <c r="W126" s="227">
        <f t="shared" si="54"/>
        <v>0.65770317460317473</v>
      </c>
      <c r="X126" s="892"/>
      <c r="Y126" s="890" t="s">
        <v>652</v>
      </c>
      <c r="Z126" s="510" t="s">
        <v>462</v>
      </c>
      <c r="AA126" s="64" t="s">
        <v>131</v>
      </c>
      <c r="AI126" s="1">
        <f t="shared" si="55"/>
        <v>12000</v>
      </c>
      <c r="AM126" s="1">
        <f t="shared" si="56"/>
        <v>10443.530000000001</v>
      </c>
    </row>
    <row r="127" spans="1:39" ht="13.5" customHeight="1" x14ac:dyDescent="0.35">
      <c r="A127" s="42">
        <v>134</v>
      </c>
      <c r="C127" s="373" t="s">
        <v>267</v>
      </c>
      <c r="D127" s="374"/>
      <c r="E127" s="374"/>
      <c r="F127" s="374"/>
      <c r="G127" s="374"/>
      <c r="H127" s="374"/>
      <c r="I127" s="374"/>
      <c r="J127" s="374"/>
      <c r="K127" s="374"/>
      <c r="L127" s="374"/>
      <c r="M127" s="374"/>
      <c r="N127" s="374"/>
      <c r="O127" s="374"/>
      <c r="P127" s="377">
        <f>(425*12)-Technology!C19+500</f>
        <v>2256.8000000000002</v>
      </c>
      <c r="Q127" s="377">
        <f>425*12</f>
        <v>5100</v>
      </c>
      <c r="R127" s="378">
        <f t="shared" si="52"/>
        <v>-2843.2</v>
      </c>
      <c r="S127" s="379">
        <f t="shared" si="53"/>
        <v>-0.55749019607843131</v>
      </c>
      <c r="T127" s="373"/>
      <c r="U127" s="377">
        <v>5408.33</v>
      </c>
      <c r="V127" s="377">
        <v>3825</v>
      </c>
      <c r="W127" s="379">
        <f t="shared" si="54"/>
        <v>0.4139424836601307</v>
      </c>
      <c r="X127" s="897" t="s">
        <v>811</v>
      </c>
      <c r="Y127" s="983" t="s">
        <v>640</v>
      </c>
      <c r="Z127" s="604" t="s">
        <v>458</v>
      </c>
      <c r="AA127" s="63"/>
      <c r="AB127" s="2"/>
      <c r="AI127" s="1">
        <f t="shared" si="55"/>
        <v>2256.8000000000002</v>
      </c>
      <c r="AM127" s="1">
        <f t="shared" si="56"/>
        <v>5408.33</v>
      </c>
    </row>
    <row r="128" spans="1:39" ht="13.5" customHeight="1" x14ac:dyDescent="0.35">
      <c r="A128" s="42">
        <v>135</v>
      </c>
      <c r="C128" s="233" t="s">
        <v>61</v>
      </c>
      <c r="D128" s="241"/>
      <c r="E128" s="241"/>
      <c r="F128" s="241"/>
      <c r="G128" s="241"/>
      <c r="H128" s="241"/>
      <c r="I128" s="241"/>
      <c r="J128" s="241"/>
      <c r="K128" s="241"/>
      <c r="L128" s="241"/>
      <c r="M128" s="241"/>
      <c r="N128" s="241"/>
      <c r="O128" s="241"/>
      <c r="P128" s="230">
        <v>1800</v>
      </c>
      <c r="Q128" s="230">
        <v>1800</v>
      </c>
      <c r="R128" s="231">
        <f t="shared" si="52"/>
        <v>0</v>
      </c>
      <c r="S128" s="232">
        <f t="shared" si="53"/>
        <v>0</v>
      </c>
      <c r="T128" s="233"/>
      <c r="U128" s="230">
        <v>805.29</v>
      </c>
      <c r="V128" s="230">
        <v>1350</v>
      </c>
      <c r="W128" s="232">
        <f t="shared" si="54"/>
        <v>-0.4034888888888889</v>
      </c>
      <c r="X128" s="892"/>
      <c r="Y128" s="992" t="s">
        <v>637</v>
      </c>
      <c r="Z128" s="604" t="s">
        <v>466</v>
      </c>
      <c r="AA128" s="57"/>
      <c r="AI128" s="1">
        <f t="shared" si="55"/>
        <v>1800</v>
      </c>
      <c r="AM128" s="1">
        <f t="shared" si="56"/>
        <v>805.29</v>
      </c>
    </row>
    <row r="129" spans="1:39" ht="13.5" customHeight="1" x14ac:dyDescent="0.35">
      <c r="A129" s="42">
        <v>136</v>
      </c>
      <c r="C129" s="233" t="s">
        <v>62</v>
      </c>
      <c r="D129" s="241"/>
      <c r="E129" s="241"/>
      <c r="F129" s="241"/>
      <c r="G129" s="241"/>
      <c r="H129" s="241"/>
      <c r="I129" s="241"/>
      <c r="J129" s="241"/>
      <c r="K129" s="241"/>
      <c r="L129" s="241"/>
      <c r="M129" s="241"/>
      <c r="N129" s="241"/>
      <c r="O129" s="241"/>
      <c r="P129" s="230">
        <v>350</v>
      </c>
      <c r="Q129" s="230">
        <v>350</v>
      </c>
      <c r="R129" s="231">
        <f t="shared" si="52"/>
        <v>0</v>
      </c>
      <c r="S129" s="232">
        <f t="shared" si="53"/>
        <v>0</v>
      </c>
      <c r="T129" s="233"/>
      <c r="U129" s="230">
        <v>313.39999999999998</v>
      </c>
      <c r="V129" s="230">
        <v>350</v>
      </c>
      <c r="W129" s="232">
        <f t="shared" si="54"/>
        <v>-0.10457142857142863</v>
      </c>
      <c r="X129" s="892"/>
      <c r="Y129" s="892"/>
      <c r="Z129" s="510" t="s">
        <v>520</v>
      </c>
      <c r="AA129" s="64" t="s">
        <v>132</v>
      </c>
      <c r="AI129" s="1">
        <f t="shared" si="55"/>
        <v>350</v>
      </c>
      <c r="AM129" s="1">
        <f t="shared" si="56"/>
        <v>313.39999999999998</v>
      </c>
    </row>
    <row r="130" spans="1:39" ht="13.5" customHeight="1" x14ac:dyDescent="0.35">
      <c r="A130" s="42">
        <v>138</v>
      </c>
      <c r="B130" s="606"/>
      <c r="C130" s="233" t="s">
        <v>99</v>
      </c>
      <c r="D130" s="241"/>
      <c r="E130" s="241"/>
      <c r="F130" s="241"/>
      <c r="G130" s="241"/>
      <c r="H130" s="241"/>
      <c r="I130" s="241"/>
      <c r="J130" s="241"/>
      <c r="K130" s="241"/>
      <c r="L130" s="241"/>
      <c r="M130" s="241"/>
      <c r="N130" s="241"/>
      <c r="O130" s="241"/>
      <c r="P130" s="230">
        <v>7000</v>
      </c>
      <c r="Q130" s="230">
        <v>7000</v>
      </c>
      <c r="R130" s="231">
        <f t="shared" si="52"/>
        <v>0</v>
      </c>
      <c r="S130" s="232">
        <f t="shared" si="53"/>
        <v>0</v>
      </c>
      <c r="T130" s="233"/>
      <c r="U130" s="230">
        <v>4895.7700000000004</v>
      </c>
      <c r="V130" s="230">
        <v>5250</v>
      </c>
      <c r="W130" s="232">
        <f t="shared" si="54"/>
        <v>-6.7472380952380867E-2</v>
      </c>
      <c r="X130" s="892"/>
      <c r="Y130" s="892"/>
      <c r="Z130" s="603" t="s">
        <v>467</v>
      </c>
      <c r="AA130" s="57"/>
      <c r="AI130" s="1">
        <f t="shared" si="55"/>
        <v>7000</v>
      </c>
      <c r="AM130" s="1">
        <f t="shared" si="56"/>
        <v>4895.7700000000004</v>
      </c>
    </row>
    <row r="131" spans="1:39" s="2" customFormat="1" x14ac:dyDescent="0.35">
      <c r="A131" s="42">
        <v>139</v>
      </c>
      <c r="B131" s="26" t="s">
        <v>64</v>
      </c>
      <c r="C131" s="26"/>
      <c r="D131" s="26"/>
      <c r="E131" s="84"/>
      <c r="F131" s="84"/>
      <c r="G131" s="84"/>
      <c r="H131" s="84"/>
      <c r="I131" s="84"/>
      <c r="J131" s="84"/>
      <c r="K131" s="84"/>
      <c r="L131" s="84"/>
      <c r="M131" s="84"/>
      <c r="N131" s="84"/>
      <c r="O131" s="26"/>
      <c r="P131" s="26">
        <f>SUM(P125:P130)</f>
        <v>36406.800000000003</v>
      </c>
      <c r="Q131" s="26">
        <f>SUM(Q125:Q130)</f>
        <v>34650</v>
      </c>
      <c r="R131" s="26">
        <f>SUM(R125:R130)</f>
        <v>1756.8000000000002</v>
      </c>
      <c r="S131" s="27">
        <f t="shared" si="53"/>
        <v>5.0701298701298789E-2</v>
      </c>
      <c r="U131" s="26">
        <f>SUM(U125:U130)</f>
        <v>31617.340000000007</v>
      </c>
      <c r="V131" s="26">
        <f>SUM(V125:V130)</f>
        <v>26075</v>
      </c>
      <c r="W131" s="27">
        <f t="shared" si="54"/>
        <v>0.21255378715244516</v>
      </c>
      <c r="X131" s="905"/>
      <c r="Y131" s="905"/>
      <c r="Z131" s="69"/>
      <c r="AA131" s="60"/>
      <c r="AM131" s="1"/>
    </row>
    <row r="132" spans="1:39" ht="19.5" customHeight="1" x14ac:dyDescent="0.35">
      <c r="A132" s="42">
        <v>141</v>
      </c>
      <c r="B132" s="838" t="s">
        <v>65</v>
      </c>
      <c r="S132" s="4"/>
      <c r="Z132" s="68"/>
      <c r="AA132" s="58"/>
    </row>
    <row r="133" spans="1:39" ht="13.5" customHeight="1" x14ac:dyDescent="0.35">
      <c r="A133" s="42">
        <v>142</v>
      </c>
      <c r="C133" s="373" t="s">
        <v>66</v>
      </c>
      <c r="D133" s="374"/>
      <c r="E133" s="375"/>
      <c r="F133" s="376"/>
      <c r="G133" s="376"/>
      <c r="H133" s="376"/>
      <c r="I133" s="376"/>
      <c r="J133" s="376"/>
      <c r="K133" s="376"/>
      <c r="L133" s="376"/>
      <c r="M133" s="376"/>
      <c r="N133" s="376"/>
      <c r="O133" s="373"/>
      <c r="P133" s="381">
        <v>14000</v>
      </c>
      <c r="Q133" s="381">
        <v>14000</v>
      </c>
      <c r="R133" s="378">
        <f t="shared" ref="R133:R138" si="57">+P133-Q133</f>
        <v>0</v>
      </c>
      <c r="S133" s="379">
        <f t="shared" ref="S133:S140" si="58">IF(Q133=0,"NA",(+P133-Q133)/Q133)</f>
        <v>0</v>
      </c>
      <c r="T133" s="373"/>
      <c r="U133" s="377">
        <v>10777</v>
      </c>
      <c r="V133" s="377">
        <v>10500</v>
      </c>
      <c r="W133" s="379">
        <f t="shared" ref="W133:W140" si="59">IF(V133=0,"NA",(+U133-V133)/V133)</f>
        <v>2.638095238095238E-2</v>
      </c>
      <c r="X133" s="896"/>
      <c r="Y133" s="986" t="s">
        <v>603</v>
      </c>
      <c r="Z133" s="510" t="s">
        <v>458</v>
      </c>
      <c r="AA133" s="57" t="s">
        <v>133</v>
      </c>
      <c r="AI133" s="1">
        <f t="shared" ref="AI133:AI137" si="60">+$P133</f>
        <v>14000</v>
      </c>
      <c r="AM133" s="1">
        <f t="shared" ref="AM133:AM137" si="61">+$U133</f>
        <v>10777</v>
      </c>
    </row>
    <row r="134" spans="1:39" ht="13.5" customHeight="1" x14ac:dyDescent="0.35">
      <c r="A134" s="42">
        <v>143</v>
      </c>
      <c r="C134" s="233" t="s">
        <v>67</v>
      </c>
      <c r="D134" s="241"/>
      <c r="E134" s="242"/>
      <c r="F134" s="243"/>
      <c r="G134" s="243"/>
      <c r="H134" s="243"/>
      <c r="I134" s="243"/>
      <c r="J134" s="243"/>
      <c r="K134" s="243"/>
      <c r="L134" s="243"/>
      <c r="M134" s="243"/>
      <c r="N134" s="243"/>
      <c r="O134" s="233"/>
      <c r="P134" s="230">
        <v>6000</v>
      </c>
      <c r="Q134" s="230">
        <v>6000</v>
      </c>
      <c r="R134" s="231">
        <f t="shared" si="57"/>
        <v>0</v>
      </c>
      <c r="S134" s="232">
        <f t="shared" si="58"/>
        <v>0</v>
      </c>
      <c r="T134" s="233"/>
      <c r="U134" s="230">
        <v>3118</v>
      </c>
      <c r="V134" s="230">
        <v>4800</v>
      </c>
      <c r="W134" s="232">
        <f t="shared" si="59"/>
        <v>-0.35041666666666665</v>
      </c>
      <c r="X134" s="892"/>
      <c r="Y134" s="892"/>
      <c r="Z134" s="604" t="s">
        <v>468</v>
      </c>
      <c r="AA134" s="57"/>
      <c r="AI134" s="1">
        <f t="shared" si="60"/>
        <v>6000</v>
      </c>
      <c r="AM134" s="1">
        <f t="shared" si="61"/>
        <v>3118</v>
      </c>
    </row>
    <row r="135" spans="1:39" ht="13.5" customHeight="1" x14ac:dyDescent="0.35">
      <c r="A135" s="42">
        <v>159</v>
      </c>
      <c r="C135" s="233" t="s">
        <v>92</v>
      </c>
      <c r="D135" s="241"/>
      <c r="E135" s="242"/>
      <c r="F135" s="243"/>
      <c r="G135" s="243"/>
      <c r="H135" s="243"/>
      <c r="I135" s="243"/>
      <c r="J135" s="243"/>
      <c r="K135" s="243"/>
      <c r="L135" s="243"/>
      <c r="M135" s="243"/>
      <c r="N135" s="243"/>
      <c r="O135" s="233"/>
      <c r="P135" s="230">
        <v>4500</v>
      </c>
      <c r="Q135" s="230">
        <v>4500</v>
      </c>
      <c r="R135" s="231">
        <f t="shared" si="57"/>
        <v>0</v>
      </c>
      <c r="S135" s="232">
        <f t="shared" si="58"/>
        <v>0</v>
      </c>
      <c r="T135" s="233"/>
      <c r="U135" s="230">
        <v>2919.36</v>
      </c>
      <c r="V135" s="230">
        <v>3375</v>
      </c>
      <c r="W135" s="232">
        <f t="shared" si="59"/>
        <v>-0.1350044444444444</v>
      </c>
      <c r="X135" s="892"/>
      <c r="Y135" s="897"/>
      <c r="Z135" s="604"/>
      <c r="AA135" s="57"/>
      <c r="AI135" s="1">
        <f t="shared" si="60"/>
        <v>4500</v>
      </c>
      <c r="AM135" s="1">
        <f t="shared" si="61"/>
        <v>2919.36</v>
      </c>
    </row>
    <row r="136" spans="1:39" ht="13.5" customHeight="1" x14ac:dyDescent="0.35">
      <c r="A136" s="42">
        <v>145</v>
      </c>
      <c r="C136" s="1218" t="s">
        <v>95</v>
      </c>
      <c r="D136" s="1218"/>
      <c r="E136" s="383"/>
      <c r="F136" s="383"/>
      <c r="G136" s="383"/>
      <c r="H136" s="383"/>
      <c r="I136" s="383"/>
      <c r="J136" s="383"/>
      <c r="K136" s="383"/>
      <c r="L136" s="383"/>
      <c r="M136" s="383"/>
      <c r="N136" s="383"/>
      <c r="O136" s="382"/>
      <c r="P136" s="246">
        <v>6000</v>
      </c>
      <c r="Q136" s="246">
        <v>6000</v>
      </c>
      <c r="R136" s="231">
        <f t="shared" si="57"/>
        <v>0</v>
      </c>
      <c r="S136" s="232">
        <f t="shared" si="58"/>
        <v>0</v>
      </c>
      <c r="T136" s="233"/>
      <c r="U136" s="230">
        <v>4518.9799999999996</v>
      </c>
      <c r="V136" s="230">
        <v>4500</v>
      </c>
      <c r="W136" s="232">
        <f t="shared" si="59"/>
        <v>4.2177777777776806E-3</v>
      </c>
      <c r="X136" s="897"/>
      <c r="Y136" s="897"/>
      <c r="Z136" s="604"/>
      <c r="AA136" s="57"/>
      <c r="AI136" s="1">
        <f t="shared" si="60"/>
        <v>6000</v>
      </c>
      <c r="AM136" s="1">
        <f t="shared" si="61"/>
        <v>4518.9799999999996</v>
      </c>
    </row>
    <row r="137" spans="1:39" ht="13.5" customHeight="1" x14ac:dyDescent="0.35">
      <c r="A137" s="42">
        <v>146</v>
      </c>
      <c r="C137" s="233" t="s">
        <v>68</v>
      </c>
      <c r="D137" s="241"/>
      <c r="E137" s="242"/>
      <c r="F137" s="243"/>
      <c r="G137" s="243"/>
      <c r="H137" s="243"/>
      <c r="I137" s="243"/>
      <c r="J137" s="243"/>
      <c r="K137" s="243"/>
      <c r="L137" s="243"/>
      <c r="M137" s="243"/>
      <c r="N137" s="243"/>
      <c r="O137" s="233"/>
      <c r="P137" s="230">
        <v>10000</v>
      </c>
      <c r="Q137" s="230">
        <v>10000</v>
      </c>
      <c r="R137" s="231">
        <f t="shared" si="57"/>
        <v>0</v>
      </c>
      <c r="S137" s="232">
        <f t="shared" si="58"/>
        <v>0</v>
      </c>
      <c r="T137" s="233"/>
      <c r="U137" s="246">
        <v>2413.9299999999998</v>
      </c>
      <c r="V137" s="230">
        <v>7499.97</v>
      </c>
      <c r="W137" s="232">
        <f t="shared" si="59"/>
        <v>-0.67814137923218365</v>
      </c>
      <c r="X137" s="896"/>
      <c r="Y137" s="896"/>
      <c r="Z137" s="510"/>
      <c r="AA137" s="57"/>
      <c r="AI137" s="1">
        <f t="shared" si="60"/>
        <v>10000</v>
      </c>
      <c r="AM137" s="1">
        <f t="shared" si="61"/>
        <v>2413.9299999999998</v>
      </c>
    </row>
    <row r="138" spans="1:39" hidden="1" x14ac:dyDescent="0.35">
      <c r="A138" s="42">
        <v>149</v>
      </c>
      <c r="C138" s="1" t="s">
        <v>69</v>
      </c>
      <c r="P138" s="51">
        <v>0</v>
      </c>
      <c r="Q138" s="51">
        <v>0</v>
      </c>
      <c r="R138" s="37">
        <f t="shared" si="57"/>
        <v>0</v>
      </c>
      <c r="S138" s="3" t="str">
        <f t="shared" si="58"/>
        <v>NA</v>
      </c>
      <c r="U138" s="51">
        <v>0</v>
      </c>
      <c r="V138" s="51">
        <v>0</v>
      </c>
      <c r="W138" s="3" t="str">
        <f t="shared" si="59"/>
        <v>NA</v>
      </c>
      <c r="X138" s="904"/>
      <c r="Y138" s="904"/>
      <c r="Z138" s="69"/>
      <c r="AA138" s="61"/>
    </row>
    <row r="139" spans="1:39" s="2" customFormat="1" x14ac:dyDescent="0.35">
      <c r="A139" s="42">
        <v>150</v>
      </c>
      <c r="B139" s="26" t="s">
        <v>70</v>
      </c>
      <c r="C139" s="26"/>
      <c r="D139" s="26"/>
      <c r="E139" s="84"/>
      <c r="F139" s="84"/>
      <c r="G139" s="84"/>
      <c r="H139" s="84"/>
      <c r="I139" s="84"/>
      <c r="J139" s="84"/>
      <c r="K139" s="84"/>
      <c r="L139" s="84"/>
      <c r="M139" s="84"/>
      <c r="N139" s="84"/>
      <c r="O139" s="26"/>
      <c r="P139" s="26">
        <f>SUM(P133:P138)</f>
        <v>40500</v>
      </c>
      <c r="Q139" s="26">
        <f>SUM(Q133:Q138)</f>
        <v>40500</v>
      </c>
      <c r="R139" s="26">
        <f>SUM(R133:R138)</f>
        <v>0</v>
      </c>
      <c r="S139" s="27">
        <f t="shared" si="58"/>
        <v>0</v>
      </c>
      <c r="U139" s="26">
        <f>SUM(U133:U138)</f>
        <v>23747.27</v>
      </c>
      <c r="V139" s="26">
        <f>SUM(V133:V138)</f>
        <v>30674.97</v>
      </c>
      <c r="W139" s="27">
        <f t="shared" si="59"/>
        <v>-0.2258421116630269</v>
      </c>
      <c r="X139" s="905"/>
      <c r="Y139" s="905"/>
      <c r="Z139" s="69"/>
      <c r="AA139" s="60"/>
      <c r="AB139" s="1"/>
    </row>
    <row r="140" spans="1:39" x14ac:dyDescent="0.35">
      <c r="A140" s="42">
        <v>151</v>
      </c>
      <c r="B140" s="26" t="s">
        <v>71</v>
      </c>
      <c r="C140" s="26"/>
      <c r="D140" s="26"/>
      <c r="E140" s="84"/>
      <c r="F140" s="84"/>
      <c r="G140" s="84"/>
      <c r="H140" s="84"/>
      <c r="I140" s="84"/>
      <c r="J140" s="84"/>
      <c r="K140" s="84"/>
      <c r="L140" s="84"/>
      <c r="M140" s="84"/>
      <c r="N140" s="84"/>
      <c r="O140" s="26"/>
      <c r="P140" s="26">
        <f>+P131+P139</f>
        <v>76906.8</v>
      </c>
      <c r="Q140" s="26">
        <f>+Q131+Q139</f>
        <v>75150</v>
      </c>
      <c r="R140" s="26">
        <f>+R131+R139</f>
        <v>1756.8000000000002</v>
      </c>
      <c r="S140" s="27">
        <f t="shared" si="58"/>
        <v>2.3377245508982073E-2</v>
      </c>
      <c r="U140" s="26">
        <f>+U131+U139</f>
        <v>55364.610000000008</v>
      </c>
      <c r="V140" s="26">
        <f>+V131+V139</f>
        <v>56749.97</v>
      </c>
      <c r="W140" s="27">
        <f t="shared" si="59"/>
        <v>-2.441164286078025E-2</v>
      </c>
      <c r="X140" s="905"/>
      <c r="Y140" s="905"/>
      <c r="Z140" s="68"/>
      <c r="AA140" s="58"/>
    </row>
    <row r="141" spans="1:39" ht="23" hidden="1" customHeight="1" x14ac:dyDescent="0.35">
      <c r="A141" s="42">
        <v>154</v>
      </c>
      <c r="B141" s="6" t="s">
        <v>73</v>
      </c>
      <c r="S141" s="4"/>
      <c r="Z141" s="68"/>
      <c r="AA141" s="58"/>
    </row>
    <row r="142" spans="1:39" ht="18.5" hidden="1" x14ac:dyDescent="0.35">
      <c r="B142" s="6"/>
      <c r="C142" s="223" t="s">
        <v>672</v>
      </c>
      <c r="D142" s="235"/>
      <c r="E142" s="236"/>
      <c r="F142" s="237"/>
      <c r="G142" s="237"/>
      <c r="H142" s="237"/>
      <c r="I142" s="237"/>
      <c r="J142" s="237"/>
      <c r="K142" s="237"/>
      <c r="L142" s="237"/>
      <c r="M142" s="237"/>
      <c r="N142" s="237"/>
      <c r="O142" s="223"/>
      <c r="P142" s="247">
        <v>0</v>
      </c>
      <c r="Q142" s="247"/>
      <c r="R142" s="221">
        <f>+P142-Q142</f>
        <v>0</v>
      </c>
      <c r="S142" s="222" t="str">
        <f>IF(Q142=0,"NA",(+P142-Q142)/Q142)</f>
        <v>NA</v>
      </c>
      <c r="T142" s="223"/>
      <c r="U142" s="220">
        <v>0</v>
      </c>
      <c r="V142" s="220">
        <v>0</v>
      </c>
      <c r="W142" s="222" t="str">
        <f>IF(V142=0,"NA",(+U142-V142)/V142)</f>
        <v>NA</v>
      </c>
      <c r="X142" s="899"/>
      <c r="Z142" s="68"/>
      <c r="AA142" s="58"/>
    </row>
    <row r="143" spans="1:39" hidden="1" x14ac:dyDescent="0.35">
      <c r="C143" s="223" t="s">
        <v>74</v>
      </c>
      <c r="D143" s="235"/>
      <c r="E143" s="236"/>
      <c r="F143" s="237"/>
      <c r="G143" s="237"/>
      <c r="H143" s="237"/>
      <c r="I143" s="237"/>
      <c r="J143" s="237"/>
      <c r="K143" s="237"/>
      <c r="L143" s="237"/>
      <c r="M143" s="237"/>
      <c r="N143" s="237"/>
      <c r="O143" s="223"/>
      <c r="P143" s="247">
        <v>0</v>
      </c>
      <c r="Q143" s="247">
        <v>0</v>
      </c>
      <c r="R143" s="221">
        <f t="shared" ref="R143:R148" si="62">+P143-Q143</f>
        <v>0</v>
      </c>
      <c r="S143" s="222" t="str">
        <f t="shared" ref="S143:S149" si="63">IF(Q143=0,"NA",(+P143-Q143)/Q143)</f>
        <v>NA</v>
      </c>
      <c r="T143" s="223"/>
      <c r="U143" s="220">
        <v>0</v>
      </c>
      <c r="V143" s="220">
        <v>0</v>
      </c>
      <c r="W143" s="222" t="str">
        <f t="shared" ref="W143:W148" si="64">IF(V143=0,"NA",(+U143-V143)/V143)</f>
        <v>NA</v>
      </c>
      <c r="X143" s="899"/>
      <c r="Y143" s="899"/>
      <c r="Z143" s="224" t="s">
        <v>471</v>
      </c>
      <c r="AA143" s="57"/>
    </row>
    <row r="144" spans="1:39" hidden="1" x14ac:dyDescent="0.35">
      <c r="C144" s="228" t="s">
        <v>173</v>
      </c>
      <c r="D144" s="238"/>
      <c r="E144" s="239"/>
      <c r="F144" s="240"/>
      <c r="G144" s="240"/>
      <c r="H144" s="240"/>
      <c r="I144" s="240"/>
      <c r="J144" s="240"/>
      <c r="K144" s="240"/>
      <c r="L144" s="240"/>
      <c r="M144" s="240"/>
      <c r="N144" s="240"/>
      <c r="O144" s="228"/>
      <c r="P144" s="245">
        <v>0</v>
      </c>
      <c r="Q144" s="245">
        <v>0</v>
      </c>
      <c r="R144" s="226">
        <f t="shared" si="62"/>
        <v>0</v>
      </c>
      <c r="S144" s="227" t="str">
        <f t="shared" si="63"/>
        <v>NA</v>
      </c>
      <c r="T144" s="228"/>
      <c r="U144" s="225">
        <v>0</v>
      </c>
      <c r="V144" s="225">
        <v>0</v>
      </c>
      <c r="W144" s="227" t="str">
        <f t="shared" si="64"/>
        <v>NA</v>
      </c>
      <c r="X144" s="897"/>
      <c r="Y144" s="897"/>
      <c r="Z144" s="229"/>
      <c r="AA144" s="57"/>
    </row>
    <row r="145" spans="1:39" hidden="1" x14ac:dyDescent="0.35">
      <c r="A145" s="42">
        <v>156</v>
      </c>
      <c r="C145" s="228" t="s">
        <v>139</v>
      </c>
      <c r="D145" s="238"/>
      <c r="E145" s="239"/>
      <c r="F145" s="240"/>
      <c r="G145" s="240"/>
      <c r="H145" s="240"/>
      <c r="I145" s="240"/>
      <c r="J145" s="240"/>
      <c r="K145" s="240"/>
      <c r="L145" s="240"/>
      <c r="M145" s="240"/>
      <c r="N145" s="240"/>
      <c r="O145" s="228"/>
      <c r="P145" s="245">
        <v>0</v>
      </c>
      <c r="Q145" s="245">
        <v>0</v>
      </c>
      <c r="R145" s="226">
        <f t="shared" si="62"/>
        <v>0</v>
      </c>
      <c r="S145" s="227" t="str">
        <f t="shared" si="63"/>
        <v>NA</v>
      </c>
      <c r="T145" s="228"/>
      <c r="U145" s="245">
        <v>0</v>
      </c>
      <c r="V145" s="225">
        <v>0</v>
      </c>
      <c r="W145" s="227" t="str">
        <f t="shared" si="64"/>
        <v>NA</v>
      </c>
      <c r="X145" s="897"/>
      <c r="Y145" s="897"/>
      <c r="Z145" s="229" t="s">
        <v>472</v>
      </c>
      <c r="AA145" s="57"/>
    </row>
    <row r="146" spans="1:39" hidden="1" x14ac:dyDescent="0.35">
      <c r="A146" s="42">
        <v>157</v>
      </c>
      <c r="C146" s="228" t="s">
        <v>144</v>
      </c>
      <c r="D146" s="238"/>
      <c r="E146" s="239"/>
      <c r="F146" s="240"/>
      <c r="G146" s="240"/>
      <c r="H146" s="240"/>
      <c r="I146" s="240"/>
      <c r="J146" s="240"/>
      <c r="K146" s="240"/>
      <c r="L146" s="240"/>
      <c r="M146" s="240"/>
      <c r="N146" s="240"/>
      <c r="O146" s="228"/>
      <c r="P146" s="245">
        <v>0</v>
      </c>
      <c r="Q146" s="245">
        <v>0</v>
      </c>
      <c r="R146" s="226">
        <f t="shared" si="62"/>
        <v>0</v>
      </c>
      <c r="S146" s="227" t="str">
        <f t="shared" si="63"/>
        <v>NA</v>
      </c>
      <c r="T146" s="228"/>
      <c r="U146" s="245">
        <v>0</v>
      </c>
      <c r="V146" s="225">
        <v>0</v>
      </c>
      <c r="W146" s="282" t="s">
        <v>421</v>
      </c>
      <c r="X146" s="906"/>
      <c r="Y146" s="906"/>
      <c r="Z146" s="229" t="s">
        <v>473</v>
      </c>
      <c r="AA146" s="58"/>
    </row>
    <row r="147" spans="1:39" hidden="1" x14ac:dyDescent="0.35">
      <c r="A147" s="42">
        <v>157</v>
      </c>
      <c r="C147" s="233" t="s">
        <v>168</v>
      </c>
      <c r="D147" s="241"/>
      <c r="E147" s="242"/>
      <c r="F147" s="243"/>
      <c r="G147" s="243"/>
      <c r="H147" s="243"/>
      <c r="I147" s="243"/>
      <c r="J147" s="243"/>
      <c r="K147" s="243"/>
      <c r="L147" s="243"/>
      <c r="M147" s="243"/>
      <c r="N147" s="243"/>
      <c r="O147" s="233"/>
      <c r="P147" s="246">
        <v>0</v>
      </c>
      <c r="Q147" s="246">
        <v>0</v>
      </c>
      <c r="R147" s="231">
        <f t="shared" si="62"/>
        <v>0</v>
      </c>
      <c r="S147" s="232" t="str">
        <f t="shared" si="63"/>
        <v>NA</v>
      </c>
      <c r="T147" s="233"/>
      <c r="U147" s="230">
        <v>0</v>
      </c>
      <c r="V147" s="230">
        <v>0</v>
      </c>
      <c r="W147" s="232" t="str">
        <f t="shared" si="64"/>
        <v>NA</v>
      </c>
      <c r="X147" s="892"/>
      <c r="Y147" s="892"/>
      <c r="Z147" s="234" t="s">
        <v>491</v>
      </c>
      <c r="AA147" s="58"/>
      <c r="AB147" s="2"/>
    </row>
    <row r="148" spans="1:39" hidden="1" x14ac:dyDescent="0.35">
      <c r="A148" s="42">
        <v>158</v>
      </c>
      <c r="C148" s="1" t="s">
        <v>75</v>
      </c>
      <c r="P148" s="53">
        <v>0</v>
      </c>
      <c r="Q148" s="53">
        <v>0</v>
      </c>
      <c r="R148" s="37">
        <f t="shared" si="62"/>
        <v>0</v>
      </c>
      <c r="S148" s="3" t="str">
        <f t="shared" si="63"/>
        <v>NA</v>
      </c>
      <c r="U148" s="51">
        <v>0</v>
      </c>
      <c r="V148" s="51">
        <v>0</v>
      </c>
      <c r="W148" s="3" t="str">
        <f t="shared" si="64"/>
        <v>NA</v>
      </c>
      <c r="X148" s="904"/>
      <c r="Y148" s="904"/>
      <c r="Z148" s="61"/>
      <c r="AA148" s="61" t="s">
        <v>129</v>
      </c>
      <c r="AB148" s="2">
        <v>16</v>
      </c>
    </row>
    <row r="149" spans="1:39" s="2" customFormat="1" x14ac:dyDescent="0.35">
      <c r="A149" s="1"/>
      <c r="B149" s="28" t="s">
        <v>76</v>
      </c>
      <c r="C149" s="28"/>
      <c r="D149" s="28"/>
      <c r="E149" s="85"/>
      <c r="F149" s="85"/>
      <c r="G149" s="85"/>
      <c r="H149" s="85"/>
      <c r="I149" s="85"/>
      <c r="J149" s="85"/>
      <c r="K149" s="85"/>
      <c r="L149" s="85"/>
      <c r="M149" s="85"/>
      <c r="N149" s="85"/>
      <c r="O149" s="28"/>
      <c r="P149" s="28">
        <f>SUM(P142:P148)</f>
        <v>0</v>
      </c>
      <c r="Q149" s="28">
        <f>SUM(Q142:Q148)</f>
        <v>0</v>
      </c>
      <c r="R149" s="28">
        <f>SUM(R142:R148)</f>
        <v>0</v>
      </c>
      <c r="S149" s="29" t="str">
        <f t="shared" si="63"/>
        <v>NA</v>
      </c>
      <c r="U149" s="28">
        <f>SUM(U142:U148)</f>
        <v>0</v>
      </c>
      <c r="V149" s="28">
        <f>SUM(V142:V148)</f>
        <v>0</v>
      </c>
      <c r="W149" s="740" t="s">
        <v>421</v>
      </c>
      <c r="X149" s="907"/>
      <c r="Y149" s="907"/>
      <c r="Z149" s="69"/>
      <c r="AA149" s="60"/>
      <c r="AB149" s="1"/>
    </row>
    <row r="150" spans="1:39" ht="7.5" customHeight="1" x14ac:dyDescent="0.35">
      <c r="A150" s="42">
        <v>160</v>
      </c>
      <c r="D150" s="1"/>
      <c r="E150" s="38"/>
      <c r="S150" s="4"/>
      <c r="Z150" s="68"/>
      <c r="AA150" s="58"/>
    </row>
    <row r="151" spans="1:39" x14ac:dyDescent="0.35">
      <c r="A151" s="42">
        <v>161</v>
      </c>
      <c r="B151" s="30" t="s">
        <v>77</v>
      </c>
      <c r="C151" s="31"/>
      <c r="D151" s="31"/>
      <c r="E151" s="86"/>
      <c r="F151" s="86"/>
      <c r="G151" s="86"/>
      <c r="H151" s="86"/>
      <c r="I151" s="86"/>
      <c r="J151" s="86"/>
      <c r="K151" s="86"/>
      <c r="L151" s="86"/>
      <c r="M151" s="86"/>
      <c r="N151" s="86"/>
      <c r="O151" s="31"/>
      <c r="P151" s="30">
        <f>P29+P69+P122+P140+P149</f>
        <v>416000.17599999998</v>
      </c>
      <c r="Q151" s="30">
        <f>+Q69+Q122+Q140+Q149+Q29</f>
        <v>416000</v>
      </c>
      <c r="R151" s="30">
        <f>+R69+R122+R140+R149+R29</f>
        <v>0.17600000000129512</v>
      </c>
      <c r="S151" s="32">
        <f>IF(Q151=0,"NA",(+P151-Q151)/Q151)</f>
        <v>4.2307692302319294E-7</v>
      </c>
      <c r="U151" s="30">
        <f>+U69+U122+U140+U149+U29</f>
        <v>237629.17</v>
      </c>
      <c r="V151" s="30">
        <f>+V69+V122+V140+V149+V29</f>
        <v>314716.30000000005</v>
      </c>
      <c r="W151" s="32">
        <f>IF(V151=0,"NA",(+U151-V151)/V151)</f>
        <v>-0.24494165062311682</v>
      </c>
      <c r="X151" s="908"/>
      <c r="Y151" s="908"/>
      <c r="Z151" s="68"/>
      <c r="AA151" s="58"/>
      <c r="AF151" s="365">
        <f>+SUM(AF5:AF149)-AF59-AF81-AF92-AF107-AF108</f>
        <v>119570.20789999999</v>
      </c>
      <c r="AG151" s="365">
        <f>+SUM(AG5:AG149)-AG59-AG81-AG92-AG107-AG108</f>
        <v>47248.707900000001</v>
      </c>
      <c r="AH151" s="365">
        <f>+SUM(AH5:AH149)-AH59-AH81-AH92-AH107-AH108</f>
        <v>89315.8842</v>
      </c>
      <c r="AI151" s="365">
        <f>+SUM(AI5:AI149)-AI59-AI81-AI92-AI107-AI108</f>
        <v>123336.29999999999</v>
      </c>
      <c r="AJ151" s="365">
        <f>+SUM(AJ5:AJ149)-AJ59-AJ81-AJ92-AJ107-AJ108</f>
        <v>80696.233820000009</v>
      </c>
      <c r="AK151" s="365">
        <f>+SUM(AK5:AK149)-AK59-AK81-AK92-AK107-AK108</f>
        <v>28421.941320000005</v>
      </c>
      <c r="AL151" s="365">
        <f>+SUM(AL5:AL149)-AL59-AL81-AL92-AL107-AL108</f>
        <v>41812.194359999987</v>
      </c>
      <c r="AM151" s="365">
        <f>+SUM(AM5:AM149)-AM59-AM81-AM92-AM107-AM108</f>
        <v>77474.829999999987</v>
      </c>
    </row>
    <row r="152" spans="1:39" x14ac:dyDescent="0.35">
      <c r="A152" s="42">
        <v>162</v>
      </c>
      <c r="B152" s="30" t="s">
        <v>78</v>
      </c>
      <c r="C152" s="31"/>
      <c r="D152" s="31"/>
      <c r="E152" s="86"/>
      <c r="F152" s="86"/>
      <c r="G152" s="86"/>
      <c r="H152" s="86"/>
      <c r="I152" s="86"/>
      <c r="J152" s="86"/>
      <c r="K152" s="86"/>
      <c r="L152" s="86"/>
      <c r="M152" s="86"/>
      <c r="N152" s="86"/>
      <c r="O152" s="31"/>
      <c r="P152" s="30">
        <f>ROUND(+P17-P151,0)</f>
        <v>0</v>
      </c>
      <c r="Q152" s="30">
        <f>ROUND(+Q17-Q151,0)</f>
        <v>0</v>
      </c>
      <c r="R152" s="30">
        <f>ROUND(+R17-R151,0)</f>
        <v>0</v>
      </c>
      <c r="S152" s="32" t="str">
        <f>IF(Q152=0,"NA",(+P152-Q152)/Q152)</f>
        <v>NA</v>
      </c>
      <c r="U152" s="30">
        <f>+ROUND(U17-U151,0)</f>
        <v>86533</v>
      </c>
      <c r="V152" s="30">
        <f>+V17-V151</f>
        <v>-10296.310000000056</v>
      </c>
      <c r="W152" s="745" t="s">
        <v>421</v>
      </c>
      <c r="X152" s="909"/>
      <c r="Y152" s="909"/>
      <c r="Z152" s="68"/>
      <c r="AA152" s="58"/>
      <c r="AF152" s="1">
        <f>SUM(AF151:AI151)-P151</f>
        <v>-36529.076000000001</v>
      </c>
    </row>
    <row r="153" spans="1:39" ht="10" customHeight="1" x14ac:dyDescent="0.35">
      <c r="S153" s="4"/>
      <c r="Z153" s="68"/>
      <c r="AA153" s="58"/>
    </row>
    <row r="154" spans="1:39" hidden="1" x14ac:dyDescent="0.35">
      <c r="B154" s="97" t="s">
        <v>523</v>
      </c>
      <c r="C154" s="98"/>
      <c r="D154" s="98"/>
      <c r="E154" s="99"/>
      <c r="F154" s="99"/>
      <c r="G154" s="99"/>
      <c r="H154" s="99"/>
      <c r="I154" s="99"/>
      <c r="J154" s="99"/>
      <c r="K154" s="99"/>
      <c r="L154" s="99"/>
      <c r="M154" s="99"/>
      <c r="N154" s="99"/>
      <c r="O154" s="98"/>
      <c r="P154" s="100">
        <f>+P17-P15</f>
        <v>416000</v>
      </c>
      <c r="Q154" s="100">
        <f>+Q17-Q15</f>
        <v>416000</v>
      </c>
      <c r="R154" s="101">
        <f>+P154-Q154</f>
        <v>0</v>
      </c>
      <c r="S154" s="102">
        <f>IF(Q154=0,"NA",(+P154-Q154)/Q154)</f>
        <v>0</v>
      </c>
      <c r="T154" s="98"/>
      <c r="U154" s="100">
        <f>+U17-U15</f>
        <v>324162.19</v>
      </c>
      <c r="V154" s="100">
        <f>+V17-V15</f>
        <v>304419.99</v>
      </c>
      <c r="W154" s="103">
        <f>IF(V154=0,"NA",(+U154-V154)/V154)</f>
        <v>6.4851851548907852E-2</v>
      </c>
      <c r="X154" s="910"/>
      <c r="Y154" s="910"/>
      <c r="Z154" s="61" t="s">
        <v>177</v>
      </c>
      <c r="AA154" s="58"/>
    </row>
    <row r="155" spans="1:39" hidden="1" x14ac:dyDescent="0.35">
      <c r="B155" s="104" t="s">
        <v>146</v>
      </c>
      <c r="C155" s="92"/>
      <c r="D155" s="92"/>
      <c r="E155" s="93"/>
      <c r="F155" s="93"/>
      <c r="G155" s="93"/>
      <c r="H155" s="93"/>
      <c r="I155" s="93"/>
      <c r="J155" s="93"/>
      <c r="K155" s="93"/>
      <c r="L155" s="93"/>
      <c r="M155" s="93"/>
      <c r="N155" s="93"/>
      <c r="O155" s="92"/>
      <c r="P155" s="94">
        <f>+P151-P149</f>
        <v>416000.17599999998</v>
      </c>
      <c r="Q155" s="94">
        <f>+Q151-Q149</f>
        <v>416000</v>
      </c>
      <c r="R155" s="95">
        <f>+P155-Q155</f>
        <v>0.17599999997764826</v>
      </c>
      <c r="S155" s="96">
        <f>IF(Q155=0,"NA",(+P155-Q155)/Q155)</f>
        <v>4.2307692302319294E-7</v>
      </c>
      <c r="T155" s="92"/>
      <c r="U155" s="94">
        <f>+U151-U149</f>
        <v>237629.17</v>
      </c>
      <c r="V155" s="94">
        <f>+V151-V149</f>
        <v>314716.30000000005</v>
      </c>
      <c r="W155" s="105">
        <f>IF(V155=0,"NA",(+U155-V155)/V155)</f>
        <v>-0.24494165062311682</v>
      </c>
      <c r="X155" s="910"/>
      <c r="Y155" s="910"/>
      <c r="Z155" s="68"/>
      <c r="AA155" s="58"/>
    </row>
    <row r="156" spans="1:39" ht="15" hidden="1" thickBot="1" x14ac:dyDescent="0.4">
      <c r="B156" s="106" t="s">
        <v>155</v>
      </c>
      <c r="C156" s="107"/>
      <c r="D156" s="107"/>
      <c r="E156" s="108"/>
      <c r="F156" s="108"/>
      <c r="G156" s="108"/>
      <c r="H156" s="109"/>
      <c r="I156" s="109"/>
      <c r="J156" s="109"/>
      <c r="K156" s="109"/>
      <c r="L156" s="109"/>
      <c r="M156" s="109"/>
      <c r="N156" s="109"/>
      <c r="O156" s="107"/>
      <c r="P156" s="110">
        <f>+P154-P155</f>
        <v>-0.17599999997764826</v>
      </c>
      <c r="Q156" s="110">
        <f>+Q154-Q155</f>
        <v>0</v>
      </c>
      <c r="R156" s="111">
        <f>+P156-Q156</f>
        <v>-0.17599999997764826</v>
      </c>
      <c r="S156" s="112" t="str">
        <f>IF(Q156=0,"NA",(+P156-Q156)/Q156)</f>
        <v>NA</v>
      </c>
      <c r="T156" s="107"/>
      <c r="U156" s="110">
        <f>+U154-U155</f>
        <v>86533.01999999999</v>
      </c>
      <c r="V156" s="110">
        <f>+V154-V155</f>
        <v>-10296.310000000056</v>
      </c>
      <c r="W156" s="741" t="s">
        <v>421</v>
      </c>
      <c r="X156" s="911"/>
      <c r="Y156" s="911"/>
      <c r="Z156" s="68"/>
      <c r="AA156" s="58"/>
    </row>
    <row r="157" spans="1:39" ht="15" thickBot="1" x14ac:dyDescent="0.4">
      <c r="S157" s="4"/>
      <c r="Z157" s="58"/>
      <c r="AA157" s="58"/>
    </row>
    <row r="158" spans="1:39" ht="29.5" thickBot="1" x14ac:dyDescent="0.4">
      <c r="B158" s="930" t="s">
        <v>542</v>
      </c>
      <c r="C158" s="920"/>
      <c r="D158" s="921"/>
      <c r="E158" s="922"/>
      <c r="F158" s="922"/>
      <c r="G158" s="922"/>
      <c r="H158" s="923"/>
      <c r="I158" s="923"/>
      <c r="J158" s="923"/>
      <c r="K158" s="923"/>
      <c r="L158" s="923"/>
      <c r="M158" s="923"/>
      <c r="N158" s="923"/>
      <c r="O158" s="921"/>
      <c r="P158" s="924" t="s">
        <v>639</v>
      </c>
      <c r="Q158" s="924" t="s">
        <v>550</v>
      </c>
      <c r="R158" s="924" t="s">
        <v>10</v>
      </c>
      <c r="S158" s="925"/>
      <c r="T158" s="925"/>
      <c r="U158" s="924" t="s">
        <v>551</v>
      </c>
      <c r="V158" s="926" t="str">
        <f>+Y4</f>
        <v>2023 Budget Notes"</v>
      </c>
      <c r="W158" s="921"/>
      <c r="X158" s="1162"/>
      <c r="Y158" s="926"/>
      <c r="Z158" s="58"/>
      <c r="AA158" s="58"/>
    </row>
    <row r="159" spans="1:39" x14ac:dyDescent="0.35">
      <c r="B159" s="912" t="s">
        <v>543</v>
      </c>
      <c r="P159" s="51">
        <v>124.44</v>
      </c>
      <c r="Q159" s="51">
        <v>0</v>
      </c>
      <c r="R159" s="51">
        <v>0</v>
      </c>
      <c r="S159" s="4"/>
      <c r="U159" s="1">
        <f>+P159+Q159-R159</f>
        <v>124.44</v>
      </c>
      <c r="Z159" s="58"/>
      <c r="AA159" s="58"/>
    </row>
    <row r="160" spans="1:39" ht="29" customHeight="1" x14ac:dyDescent="0.35">
      <c r="B160" s="916" t="s">
        <v>544</v>
      </c>
      <c r="C160" s="913"/>
      <c r="D160" s="917"/>
      <c r="E160" s="915"/>
      <c r="F160" s="914"/>
      <c r="G160" s="914"/>
      <c r="H160" s="914"/>
      <c r="I160" s="914"/>
      <c r="J160" s="914"/>
      <c r="K160" s="914"/>
      <c r="L160" s="914"/>
      <c r="M160" s="914"/>
      <c r="N160" s="914"/>
      <c r="O160" s="913"/>
      <c r="P160" s="918">
        <v>4389.8100000000004</v>
      </c>
      <c r="Q160" s="918">
        <f>1273.81+250</f>
        <v>1523.81</v>
      </c>
      <c r="R160" s="918">
        <v>3268.16</v>
      </c>
      <c r="S160" s="914"/>
      <c r="T160" s="913"/>
      <c r="U160" s="913">
        <f t="shared" ref="U160:U169" si="65">+P160+Q160-R160</f>
        <v>2645.4600000000009</v>
      </c>
      <c r="V160" s="1215" t="s">
        <v>570</v>
      </c>
      <c r="W160" s="1215"/>
      <c r="X160" s="1215"/>
      <c r="Y160" s="1215"/>
      <c r="Z160" s="58"/>
      <c r="AA160" s="58"/>
    </row>
    <row r="161" spans="1:28" ht="29" customHeight="1" x14ac:dyDescent="0.35">
      <c r="B161" s="916"/>
      <c r="C161" s="913"/>
      <c r="D161" s="917"/>
      <c r="E161" s="915"/>
      <c r="F161" s="914"/>
      <c r="G161" s="914"/>
      <c r="H161" s="914"/>
      <c r="I161" s="914"/>
      <c r="J161" s="914"/>
      <c r="K161" s="914"/>
      <c r="L161" s="914"/>
      <c r="M161" s="914"/>
      <c r="N161" s="914"/>
      <c r="O161" s="913"/>
      <c r="P161" s="918"/>
      <c r="Q161" s="918"/>
      <c r="R161" s="918"/>
      <c r="S161" s="914"/>
      <c r="T161" s="913"/>
      <c r="U161" s="913"/>
      <c r="V161" s="1216" t="s">
        <v>571</v>
      </c>
      <c r="W161" s="1216"/>
      <c r="X161" s="1216"/>
      <c r="Y161" s="1216"/>
      <c r="Z161" s="58"/>
      <c r="AA161" s="58"/>
    </row>
    <row r="162" spans="1:28" ht="24.5" customHeight="1" x14ac:dyDescent="0.35">
      <c r="B162" s="916"/>
      <c r="C162" s="913"/>
      <c r="D162" s="917"/>
      <c r="E162" s="915"/>
      <c r="F162" s="914"/>
      <c r="G162" s="914"/>
      <c r="H162" s="914"/>
      <c r="I162" s="914"/>
      <c r="J162" s="914"/>
      <c r="K162" s="914"/>
      <c r="L162" s="914"/>
      <c r="M162" s="914"/>
      <c r="N162" s="914"/>
      <c r="O162" s="913"/>
      <c r="P162" s="918"/>
      <c r="Q162" s="918"/>
      <c r="R162" s="918"/>
      <c r="S162" s="914"/>
      <c r="T162" s="913"/>
      <c r="U162" s="913"/>
      <c r="V162" s="1216" t="s">
        <v>572</v>
      </c>
      <c r="W162" s="1216"/>
      <c r="X162" s="1216"/>
      <c r="Y162" s="1216"/>
      <c r="Z162" s="58"/>
      <c r="AA162" s="58"/>
    </row>
    <row r="163" spans="1:28" x14ac:dyDescent="0.35">
      <c r="B163" s="912" t="s">
        <v>545</v>
      </c>
      <c r="P163" s="51">
        <v>29.28</v>
      </c>
      <c r="Q163" s="51">
        <f>29.5+11</f>
        <v>40.5</v>
      </c>
      <c r="R163" s="51">
        <v>0</v>
      </c>
      <c r="S163" s="38"/>
      <c r="U163" s="1">
        <f t="shared" si="65"/>
        <v>69.78</v>
      </c>
      <c r="V163" s="1">
        <f>420+150+1938.17+1650+695</f>
        <v>4853.17</v>
      </c>
      <c r="Y163" s="1"/>
      <c r="Z163" s="58"/>
      <c r="AA163" s="58"/>
    </row>
    <row r="164" spans="1:28" x14ac:dyDescent="0.35">
      <c r="A164" s="1"/>
      <c r="B164" s="916" t="s">
        <v>546</v>
      </c>
      <c r="C164" s="913"/>
      <c r="D164" s="913"/>
      <c r="E164" s="914"/>
      <c r="F164" s="914"/>
      <c r="G164" s="914"/>
      <c r="H164" s="914"/>
      <c r="I164" s="914"/>
      <c r="J164" s="914"/>
      <c r="K164" s="914"/>
      <c r="L164" s="914"/>
      <c r="M164" s="914"/>
      <c r="N164" s="914"/>
      <c r="O164" s="913"/>
      <c r="P164" s="918">
        <v>2608.6</v>
      </c>
      <c r="Q164" s="918">
        <v>0</v>
      </c>
      <c r="R164" s="918">
        <v>0</v>
      </c>
      <c r="S164" s="914"/>
      <c r="T164" s="913"/>
      <c r="U164" s="913">
        <f t="shared" si="65"/>
        <v>2608.6</v>
      </c>
      <c r="V164" s="913">
        <f>80+110+100+130</f>
        <v>420</v>
      </c>
      <c r="W164" s="913"/>
      <c r="X164" s="927"/>
      <c r="Y164" s="927"/>
      <c r="Z164" s="65"/>
      <c r="AA164" s="65"/>
      <c r="AB164" s="2"/>
    </row>
    <row r="165" spans="1:28" ht="32" customHeight="1" x14ac:dyDescent="0.35">
      <c r="A165" s="1"/>
      <c r="B165" s="1" t="s">
        <v>547</v>
      </c>
      <c r="P165" s="51">
        <v>7361.2</v>
      </c>
      <c r="Q165" s="51">
        <f>7312.67+537.97+160</f>
        <v>8010.64</v>
      </c>
      <c r="R165" s="51">
        <f>3685.89+2894.65+417.67</f>
        <v>6998.21</v>
      </c>
      <c r="S165" s="38"/>
      <c r="U165" s="1">
        <f t="shared" si="65"/>
        <v>8373.630000000001</v>
      </c>
      <c r="V165" s="1168" t="s">
        <v>648</v>
      </c>
      <c r="W165" s="1168"/>
      <c r="X165" s="1168"/>
      <c r="Y165" s="1168"/>
      <c r="Z165" s="65"/>
      <c r="AA165" s="65"/>
    </row>
    <row r="166" spans="1:28" ht="43" customHeight="1" x14ac:dyDescent="0.35">
      <c r="A166" s="1"/>
      <c r="B166" s="1"/>
      <c r="P166" s="51"/>
      <c r="Q166" s="51"/>
      <c r="R166" s="51"/>
      <c r="S166" s="38"/>
      <c r="V166" s="1217" t="s">
        <v>635</v>
      </c>
      <c r="W166" s="1217"/>
      <c r="X166" s="1217"/>
      <c r="Y166" s="1217"/>
      <c r="Z166" s="65"/>
      <c r="AA166" s="65"/>
    </row>
    <row r="167" spans="1:28" x14ac:dyDescent="0.35">
      <c r="A167" s="1"/>
      <c r="B167" s="913" t="s">
        <v>548</v>
      </c>
      <c r="C167" s="913"/>
      <c r="D167" s="913"/>
      <c r="E167" s="914"/>
      <c r="F167" s="914"/>
      <c r="G167" s="914"/>
      <c r="H167" s="914"/>
      <c r="I167" s="914"/>
      <c r="J167" s="914"/>
      <c r="K167" s="914"/>
      <c r="L167" s="914"/>
      <c r="M167" s="914"/>
      <c r="N167" s="914"/>
      <c r="O167" s="913"/>
      <c r="P167" s="918">
        <v>3819.8</v>
      </c>
      <c r="Q167" s="918">
        <v>0</v>
      </c>
      <c r="R167" s="918">
        <v>0</v>
      </c>
      <c r="S167" s="914"/>
      <c r="T167" s="913"/>
      <c r="U167" s="913">
        <f t="shared" si="65"/>
        <v>3819.8</v>
      </c>
      <c r="V167" s="913"/>
      <c r="W167" s="913"/>
      <c r="X167" s="927"/>
      <c r="Y167" s="927"/>
      <c r="Z167" s="65"/>
      <c r="AA167" s="65"/>
    </row>
    <row r="168" spans="1:28" x14ac:dyDescent="0.35">
      <c r="B168" s="1" t="s">
        <v>549</v>
      </c>
      <c r="P168" s="51">
        <v>1200.33</v>
      </c>
      <c r="Q168" s="51">
        <f>590+100</f>
        <v>690</v>
      </c>
      <c r="R168" s="51">
        <f>343.75+200.92</f>
        <v>544.66999999999996</v>
      </c>
      <c r="S168" s="38"/>
      <c r="U168" s="1">
        <f t="shared" si="65"/>
        <v>1345.6599999999999</v>
      </c>
      <c r="W168" s="1"/>
      <c r="Z168" s="65"/>
      <c r="AA168" s="65"/>
    </row>
    <row r="169" spans="1:28" x14ac:dyDescent="0.35">
      <c r="A169" s="1"/>
      <c r="B169" s="913" t="s">
        <v>144</v>
      </c>
      <c r="C169" s="913"/>
      <c r="D169" s="913"/>
      <c r="E169" s="914"/>
      <c r="F169" s="914"/>
      <c r="G169" s="914"/>
      <c r="H169" s="914"/>
      <c r="I169" s="914"/>
      <c r="J169" s="914"/>
      <c r="K169" s="914"/>
      <c r="L169" s="914"/>
      <c r="M169" s="914"/>
      <c r="N169" s="914"/>
      <c r="O169" s="913"/>
      <c r="P169" s="918">
        <v>17778.62</v>
      </c>
      <c r="Q169" s="918">
        <v>0</v>
      </c>
      <c r="R169" s="918">
        <v>0</v>
      </c>
      <c r="S169" s="914"/>
      <c r="T169" s="913"/>
      <c r="U169" s="913">
        <f t="shared" si="65"/>
        <v>17778.62</v>
      </c>
      <c r="V169" s="913"/>
      <c r="W169" s="913"/>
      <c r="X169" s="927"/>
      <c r="Y169" s="927"/>
      <c r="Z169" s="65"/>
      <c r="AA169" s="65"/>
    </row>
    <row r="170" spans="1:28" x14ac:dyDescent="0.35">
      <c r="A170" s="1"/>
      <c r="B170" s="1" t="s">
        <v>553</v>
      </c>
      <c r="P170" s="51">
        <v>850</v>
      </c>
      <c r="Q170" s="51">
        <v>0</v>
      </c>
      <c r="R170" s="51">
        <v>0</v>
      </c>
      <c r="S170" s="38"/>
      <c r="U170" s="1">
        <f t="shared" ref="U170:U178" si="66">+P170+Q170-R170</f>
        <v>850</v>
      </c>
      <c r="W170" s="1"/>
      <c r="Z170" s="65"/>
      <c r="AA170" s="65"/>
    </row>
    <row r="171" spans="1:28" x14ac:dyDescent="0.35">
      <c r="A171" s="1"/>
      <c r="B171" s="913" t="s">
        <v>554</v>
      </c>
      <c r="C171" s="913"/>
      <c r="D171" s="913"/>
      <c r="E171" s="914"/>
      <c r="F171" s="914"/>
      <c r="G171" s="914"/>
      <c r="H171" s="914"/>
      <c r="I171" s="914"/>
      <c r="J171" s="914"/>
      <c r="K171" s="914"/>
      <c r="L171" s="914"/>
      <c r="M171" s="914"/>
      <c r="N171" s="914"/>
      <c r="O171" s="913"/>
      <c r="P171" s="918">
        <v>1518.92</v>
      </c>
      <c r="Q171" s="918">
        <v>0</v>
      </c>
      <c r="R171" s="918">
        <v>0</v>
      </c>
      <c r="S171" s="914"/>
      <c r="T171" s="913"/>
      <c r="U171" s="913">
        <f t="shared" si="66"/>
        <v>1518.92</v>
      </c>
      <c r="V171" s="913"/>
      <c r="W171" s="913"/>
      <c r="X171" s="927"/>
      <c r="Y171" s="927"/>
      <c r="Z171" s="65"/>
      <c r="AA171" s="65"/>
    </row>
    <row r="172" spans="1:28" x14ac:dyDescent="0.35">
      <c r="A172" s="1"/>
      <c r="B172" s="1" t="s">
        <v>555</v>
      </c>
      <c r="P172" s="51">
        <v>310.88</v>
      </c>
      <c r="Q172" s="51">
        <v>35</v>
      </c>
      <c r="R172" s="51">
        <v>0</v>
      </c>
      <c r="S172" s="38"/>
      <c r="U172" s="1">
        <f t="shared" si="66"/>
        <v>345.88</v>
      </c>
      <c r="W172" s="1"/>
      <c r="Z172" s="65"/>
      <c r="AA172" s="65"/>
    </row>
    <row r="173" spans="1:28" ht="31.5" customHeight="1" x14ac:dyDescent="0.35">
      <c r="A173" s="1"/>
      <c r="B173" s="913" t="s">
        <v>556</v>
      </c>
      <c r="C173" s="913"/>
      <c r="D173" s="913"/>
      <c r="E173" s="914"/>
      <c r="F173" s="914"/>
      <c r="G173" s="914"/>
      <c r="H173" s="914"/>
      <c r="I173" s="914"/>
      <c r="J173" s="914"/>
      <c r="K173" s="914"/>
      <c r="L173" s="914"/>
      <c r="M173" s="914"/>
      <c r="N173" s="914"/>
      <c r="O173" s="913"/>
      <c r="P173" s="918">
        <v>4209.55</v>
      </c>
      <c r="Q173" s="918">
        <v>810.32</v>
      </c>
      <c r="R173" s="918">
        <v>704.38</v>
      </c>
      <c r="S173" s="914"/>
      <c r="T173" s="913"/>
      <c r="U173" s="913">
        <f t="shared" si="66"/>
        <v>4315.49</v>
      </c>
      <c r="V173" s="1215" t="s">
        <v>567</v>
      </c>
      <c r="W173" s="1215"/>
      <c r="X173" s="1215"/>
      <c r="Y173" s="1215"/>
      <c r="Z173" s="934"/>
      <c r="AA173" s="65"/>
    </row>
    <row r="174" spans="1:28" x14ac:dyDescent="0.35">
      <c r="A174" s="1"/>
      <c r="B174" s="1" t="s">
        <v>557</v>
      </c>
      <c r="P174" s="51">
        <v>9290.89</v>
      </c>
      <c r="Q174" s="51">
        <v>0</v>
      </c>
      <c r="R174" s="51">
        <v>0</v>
      </c>
      <c r="S174" s="38"/>
      <c r="U174" s="1">
        <f t="shared" si="66"/>
        <v>9290.89</v>
      </c>
      <c r="V174" s="292" t="s">
        <v>649</v>
      </c>
      <c r="W174" s="1"/>
      <c r="Z174" s="65"/>
      <c r="AA174" s="65"/>
    </row>
    <row r="175" spans="1:28" x14ac:dyDescent="0.35">
      <c r="A175" s="1"/>
      <c r="B175" s="913" t="s">
        <v>268</v>
      </c>
      <c r="C175" s="913"/>
      <c r="D175" s="913"/>
      <c r="E175" s="914"/>
      <c r="F175" s="914"/>
      <c r="G175" s="914"/>
      <c r="H175" s="914"/>
      <c r="I175" s="914"/>
      <c r="J175" s="914"/>
      <c r="K175" s="914"/>
      <c r="L175" s="914"/>
      <c r="M175" s="914"/>
      <c r="N175" s="914"/>
      <c r="O175" s="913"/>
      <c r="P175" s="918">
        <v>2935.51</v>
      </c>
      <c r="Q175" s="918">
        <v>2320</v>
      </c>
      <c r="R175" s="918">
        <v>485</v>
      </c>
      <c r="S175" s="914"/>
      <c r="T175" s="913"/>
      <c r="U175" s="913">
        <f t="shared" si="66"/>
        <v>4770.51</v>
      </c>
      <c r="V175" s="913"/>
      <c r="W175" s="913"/>
      <c r="X175" s="927"/>
      <c r="Y175" s="927"/>
      <c r="Z175" s="65"/>
      <c r="AA175" s="65"/>
    </row>
    <row r="176" spans="1:28" x14ac:dyDescent="0.35">
      <c r="A176" s="1"/>
      <c r="B176" s="1" t="s">
        <v>558</v>
      </c>
      <c r="P176" s="51">
        <v>1299.5999999999999</v>
      </c>
      <c r="Q176" s="51">
        <v>0</v>
      </c>
      <c r="R176" s="51">
        <v>0</v>
      </c>
      <c r="S176" s="38"/>
      <c r="U176" s="1">
        <f t="shared" si="66"/>
        <v>1299.5999999999999</v>
      </c>
      <c r="W176" s="1"/>
      <c r="Z176" s="65"/>
      <c r="AA176" s="65"/>
    </row>
    <row r="177" spans="1:27" x14ac:dyDescent="0.35">
      <c r="A177" s="1"/>
      <c r="B177" s="913" t="s">
        <v>559</v>
      </c>
      <c r="C177" s="913"/>
      <c r="D177" s="913"/>
      <c r="E177" s="914"/>
      <c r="F177" s="914"/>
      <c r="G177" s="914"/>
      <c r="H177" s="914"/>
      <c r="I177" s="914"/>
      <c r="J177" s="914"/>
      <c r="K177" s="914"/>
      <c r="L177" s="914"/>
      <c r="M177" s="914"/>
      <c r="N177" s="914"/>
      <c r="O177" s="913"/>
      <c r="P177" s="918">
        <v>4035.81</v>
      </c>
      <c r="Q177" s="918">
        <v>0</v>
      </c>
      <c r="R177" s="918">
        <v>145.28</v>
      </c>
      <c r="S177" s="914"/>
      <c r="T177" s="913"/>
      <c r="U177" s="913">
        <f t="shared" si="66"/>
        <v>3890.5299999999997</v>
      </c>
      <c r="V177" s="913"/>
      <c r="W177" s="913"/>
      <c r="X177" s="927"/>
      <c r="Y177" s="927"/>
      <c r="Z177" s="65"/>
      <c r="AA177" s="65"/>
    </row>
    <row r="178" spans="1:27" x14ac:dyDescent="0.35">
      <c r="A178" s="1"/>
      <c r="B178" s="1" t="s">
        <v>560</v>
      </c>
      <c r="P178" s="51">
        <v>552</v>
      </c>
      <c r="Q178" s="51">
        <v>0</v>
      </c>
      <c r="R178" s="51">
        <v>0</v>
      </c>
      <c r="S178" s="38"/>
      <c r="U178" s="1">
        <f t="shared" si="66"/>
        <v>552</v>
      </c>
      <c r="W178" s="1"/>
      <c r="Z178" s="65"/>
      <c r="AA178" s="65"/>
    </row>
    <row r="179" spans="1:27" x14ac:dyDescent="0.35">
      <c r="A179" s="1"/>
      <c r="B179" s="913" t="s">
        <v>561</v>
      </c>
      <c r="C179" s="913"/>
      <c r="D179" s="913"/>
      <c r="E179" s="914"/>
      <c r="F179" s="914"/>
      <c r="G179" s="914"/>
      <c r="H179" s="914"/>
      <c r="I179" s="914"/>
      <c r="J179" s="914"/>
      <c r="K179" s="914"/>
      <c r="L179" s="914"/>
      <c r="M179" s="914"/>
      <c r="N179" s="914"/>
      <c r="O179" s="913"/>
      <c r="P179" s="918">
        <v>550</v>
      </c>
      <c r="Q179" s="918">
        <v>0</v>
      </c>
      <c r="R179" s="918">
        <v>550</v>
      </c>
      <c r="S179" s="914"/>
      <c r="T179" s="913"/>
      <c r="U179" s="913">
        <f>+P179+Q179-R179</f>
        <v>0</v>
      </c>
      <c r="V179" s="913"/>
      <c r="W179" s="913"/>
      <c r="X179" s="927"/>
      <c r="Y179" s="927"/>
      <c r="Z179" s="65"/>
      <c r="AA179" s="65"/>
    </row>
    <row r="180" spans="1:27" x14ac:dyDescent="0.35">
      <c r="A180" s="1"/>
      <c r="B180" s="1" t="s">
        <v>562</v>
      </c>
      <c r="P180" s="51">
        <v>5088.47</v>
      </c>
      <c r="Q180" s="51">
        <v>0</v>
      </c>
      <c r="R180" s="51">
        <v>0</v>
      </c>
      <c r="S180" s="38"/>
      <c r="U180" s="1">
        <f>+P180+Q180-R180</f>
        <v>5088.47</v>
      </c>
      <c r="W180" s="1"/>
      <c r="Z180" s="65"/>
      <c r="AA180" s="65"/>
    </row>
    <row r="181" spans="1:27" ht="15" thickBot="1" x14ac:dyDescent="0.4">
      <c r="A181" s="1"/>
      <c r="B181" s="913" t="s">
        <v>563</v>
      </c>
      <c r="C181" s="913"/>
      <c r="D181" s="913"/>
      <c r="E181" s="914"/>
      <c r="F181" s="914"/>
      <c r="G181" s="914"/>
      <c r="H181" s="914"/>
      <c r="I181" s="914"/>
      <c r="J181" s="914"/>
      <c r="K181" s="914"/>
      <c r="L181" s="914"/>
      <c r="M181" s="914"/>
      <c r="N181" s="914"/>
      <c r="O181" s="913"/>
      <c r="P181" s="918">
        <v>1321.49</v>
      </c>
      <c r="Q181" s="918">
        <v>0</v>
      </c>
      <c r="R181" s="918">
        <v>52.64</v>
      </c>
      <c r="S181" s="914"/>
      <c r="T181" s="913"/>
      <c r="U181" s="913">
        <f>+P181+Q181-R181</f>
        <v>1268.8499999999999</v>
      </c>
      <c r="V181" s="913"/>
      <c r="W181" s="913"/>
      <c r="X181" s="927"/>
      <c r="Y181" s="927"/>
      <c r="Z181" s="65"/>
      <c r="AA181" s="65"/>
    </row>
    <row r="182" spans="1:27" ht="15" thickBot="1" x14ac:dyDescent="0.4">
      <c r="B182" s="931" t="s">
        <v>564</v>
      </c>
      <c r="C182" s="928"/>
      <c r="D182" s="928"/>
      <c r="E182" s="929"/>
      <c r="F182" s="929"/>
      <c r="G182" s="929"/>
      <c r="H182" s="929"/>
      <c r="I182" s="929"/>
      <c r="J182" s="929"/>
      <c r="K182" s="929"/>
      <c r="L182" s="929"/>
      <c r="M182" s="929"/>
      <c r="N182" s="929"/>
      <c r="O182" s="928"/>
      <c r="P182" s="932">
        <f>SUM(P159:P181)</f>
        <v>69275.199999999997</v>
      </c>
      <c r="Q182" s="932">
        <f>SUM(Q159:Q181)</f>
        <v>13430.27</v>
      </c>
      <c r="R182" s="932">
        <f>SUM(R159:R181)</f>
        <v>12748.339999999998</v>
      </c>
      <c r="S182" s="932">
        <f>SUM(S159:S181)</f>
        <v>0</v>
      </c>
      <c r="T182" s="932"/>
      <c r="U182" s="932">
        <f>SUM(U159:U181)</f>
        <v>69957.13</v>
      </c>
      <c r="V182" s="928"/>
      <c r="W182" s="929"/>
      <c r="X182" s="1163"/>
      <c r="Y182" s="933"/>
      <c r="AA182" s="46"/>
    </row>
    <row r="183" spans="1:27" ht="15" thickBot="1" x14ac:dyDescent="0.4">
      <c r="AA183" s="46"/>
    </row>
    <row r="184" spans="1:27" ht="29.5" thickBot="1" x14ac:dyDescent="0.4">
      <c r="B184" s="930" t="s">
        <v>73</v>
      </c>
      <c r="C184" s="920"/>
      <c r="D184" s="921"/>
      <c r="E184" s="922"/>
      <c r="F184" s="922"/>
      <c r="G184" s="922"/>
      <c r="H184" s="923"/>
      <c r="I184" s="923"/>
      <c r="J184" s="923"/>
      <c r="K184" s="923"/>
      <c r="L184" s="923"/>
      <c r="M184" s="923"/>
      <c r="N184" s="923"/>
      <c r="O184" s="921"/>
      <c r="P184" s="924" t="s">
        <v>552</v>
      </c>
      <c r="Q184" s="924" t="s">
        <v>550</v>
      </c>
      <c r="R184" s="924" t="s">
        <v>10</v>
      </c>
      <c r="S184" s="925"/>
      <c r="T184" s="925"/>
      <c r="U184" s="924" t="s">
        <v>551</v>
      </c>
      <c r="V184" s="921"/>
      <c r="W184" s="921"/>
      <c r="X184" s="1162"/>
      <c r="Y184" s="926"/>
      <c r="Z184" s="58"/>
      <c r="AA184" s="58"/>
    </row>
    <row r="185" spans="1:27" ht="26.5" customHeight="1" x14ac:dyDescent="0.35">
      <c r="B185" s="1" t="s">
        <v>565</v>
      </c>
      <c r="P185" s="51">
        <v>27911.99</v>
      </c>
      <c r="Q185" s="51">
        <v>845</v>
      </c>
      <c r="R185" s="51">
        <v>221</v>
      </c>
      <c r="S185" s="38"/>
      <c r="U185" s="1">
        <f>+P185+Q185-R185</f>
        <v>28535.99</v>
      </c>
      <c r="V185" s="1213" t="s">
        <v>568</v>
      </c>
      <c r="W185" s="1213"/>
      <c r="X185" s="1213"/>
      <c r="Y185" s="1213"/>
      <c r="Z185" s="58"/>
      <c r="AA185" s="58"/>
    </row>
    <row r="186" spans="1:27" ht="26.5" customHeight="1" x14ac:dyDescent="0.35">
      <c r="B186" s="1"/>
      <c r="P186" s="51"/>
      <c r="Q186" s="51"/>
      <c r="R186" s="51"/>
      <c r="S186" s="38"/>
      <c r="V186" s="1214" t="s">
        <v>569</v>
      </c>
      <c r="W186" s="1214"/>
      <c r="X186" s="1214"/>
      <c r="Y186" s="1214"/>
      <c r="Z186" s="58"/>
      <c r="AA186" s="58"/>
    </row>
    <row r="187" spans="1:27" x14ac:dyDescent="0.35">
      <c r="B187" s="913" t="s">
        <v>360</v>
      </c>
      <c r="C187" s="913"/>
      <c r="D187" s="917"/>
      <c r="E187" s="915"/>
      <c r="F187" s="914"/>
      <c r="G187" s="914"/>
      <c r="H187" s="914"/>
      <c r="I187" s="914"/>
      <c r="J187" s="914"/>
      <c r="K187" s="914"/>
      <c r="L187" s="914"/>
      <c r="M187" s="914"/>
      <c r="N187" s="914"/>
      <c r="O187" s="913"/>
      <c r="P187" s="918">
        <v>101904.66</v>
      </c>
      <c r="Q187" s="918">
        <v>0</v>
      </c>
      <c r="R187" s="918">
        <v>0</v>
      </c>
      <c r="S187" s="914"/>
      <c r="T187" s="913"/>
      <c r="U187" s="913">
        <f>+P187+Q187-R187</f>
        <v>101904.66</v>
      </c>
      <c r="V187" s="913"/>
      <c r="W187" s="914"/>
      <c r="X187" s="927"/>
      <c r="Y187" s="919"/>
      <c r="Z187" s="58"/>
      <c r="AA187" s="58"/>
    </row>
    <row r="188" spans="1:27" ht="49.5" customHeight="1" x14ac:dyDescent="0.35">
      <c r="B188" s="1" t="s">
        <v>566</v>
      </c>
      <c r="P188" s="51">
        <v>200536.49</v>
      </c>
      <c r="Q188" s="51">
        <f>3140+395+315</f>
        <v>3850</v>
      </c>
      <c r="R188" s="51">
        <v>0</v>
      </c>
      <c r="S188" s="38"/>
      <c r="U188" s="1">
        <f>+P188+Q188-R188</f>
        <v>204386.49</v>
      </c>
      <c r="V188" s="1168" t="s">
        <v>573</v>
      </c>
      <c r="W188" s="1168"/>
      <c r="X188" s="1168"/>
      <c r="Y188" s="1168"/>
      <c r="Z188" s="58"/>
      <c r="AA188" s="58"/>
    </row>
    <row r="189" spans="1:27" ht="15" thickBot="1" x14ac:dyDescent="0.4">
      <c r="B189" s="913" t="s">
        <v>361</v>
      </c>
      <c r="C189" s="913"/>
      <c r="D189" s="917"/>
      <c r="E189" s="915"/>
      <c r="F189" s="914"/>
      <c r="G189" s="914"/>
      <c r="H189" s="914"/>
      <c r="I189" s="914"/>
      <c r="J189" s="914"/>
      <c r="K189" s="914"/>
      <c r="L189" s="914"/>
      <c r="M189" s="914"/>
      <c r="N189" s="914"/>
      <c r="O189" s="913"/>
      <c r="P189" s="918">
        <v>53860</v>
      </c>
      <c r="Q189" s="918">
        <v>0</v>
      </c>
      <c r="R189" s="918">
        <v>0</v>
      </c>
      <c r="S189" s="914"/>
      <c r="T189" s="913"/>
      <c r="U189" s="913">
        <f>+P189+Q189-R189</f>
        <v>53860</v>
      </c>
      <c r="V189" s="913"/>
      <c r="W189" s="914"/>
      <c r="X189" s="927"/>
      <c r="Y189" s="919"/>
      <c r="Z189" s="58"/>
      <c r="AA189" s="58"/>
    </row>
    <row r="190" spans="1:27" ht="15" thickBot="1" x14ac:dyDescent="0.4">
      <c r="B190" s="931" t="s">
        <v>76</v>
      </c>
      <c r="C190" s="928"/>
      <c r="D190" s="928"/>
      <c r="E190" s="929"/>
      <c r="F190" s="929"/>
      <c r="G190" s="929"/>
      <c r="H190" s="929"/>
      <c r="I190" s="929"/>
      <c r="J190" s="929"/>
      <c r="K190" s="929"/>
      <c r="L190" s="929"/>
      <c r="M190" s="929"/>
      <c r="N190" s="929"/>
      <c r="O190" s="928"/>
      <c r="P190" s="932">
        <f>SUM(P185:P189)</f>
        <v>384213.14</v>
      </c>
      <c r="Q190" s="932">
        <f>SUM(Q185:Q189)</f>
        <v>4695</v>
      </c>
      <c r="R190" s="932">
        <f>SUM(R185:R189)</f>
        <v>221</v>
      </c>
      <c r="S190" s="932">
        <f>SUM(S185:S189)</f>
        <v>0</v>
      </c>
      <c r="T190" s="932"/>
      <c r="U190" s="932">
        <f>SUM(U185:U189)</f>
        <v>388687.14</v>
      </c>
      <c r="V190" s="928"/>
      <c r="W190" s="929"/>
      <c r="X190" s="1163"/>
      <c r="Y190" s="933"/>
      <c r="Z190" s="856"/>
      <c r="AA190" s="46"/>
    </row>
    <row r="191" spans="1:27" x14ac:dyDescent="0.35">
      <c r="AA191" s="46"/>
    </row>
    <row r="192" spans="1:27" x14ac:dyDescent="0.35">
      <c r="AA192" s="46"/>
    </row>
    <row r="193" spans="27:27" x14ac:dyDescent="0.35">
      <c r="AA193" s="46"/>
    </row>
    <row r="194" spans="27:27" x14ac:dyDescent="0.35">
      <c r="AA194" s="46"/>
    </row>
    <row r="195" spans="27:27" x14ac:dyDescent="0.35">
      <c r="AA195" s="46"/>
    </row>
    <row r="196" spans="27:27" x14ac:dyDescent="0.35">
      <c r="AA196" s="46"/>
    </row>
    <row r="197" spans="27:27" x14ac:dyDescent="0.35">
      <c r="AA197" s="46"/>
    </row>
    <row r="198" spans="27:27" x14ac:dyDescent="0.35">
      <c r="AA198" s="46"/>
    </row>
    <row r="199" spans="27:27" x14ac:dyDescent="0.35">
      <c r="AA199" s="46"/>
    </row>
    <row r="200" spans="27:27" x14ac:dyDescent="0.35">
      <c r="AA200" s="46"/>
    </row>
    <row r="201" spans="27:27" x14ac:dyDescent="0.35">
      <c r="AA201" s="46"/>
    </row>
    <row r="202" spans="27:27" x14ac:dyDescent="0.35">
      <c r="AA202" s="46"/>
    </row>
    <row r="203" spans="27:27" x14ac:dyDescent="0.35">
      <c r="AA203" s="46"/>
    </row>
    <row r="204" spans="27:27" x14ac:dyDescent="0.35">
      <c r="AA204" s="46"/>
    </row>
    <row r="205" spans="27:27" x14ac:dyDescent="0.35">
      <c r="AA205" s="46"/>
    </row>
    <row r="206" spans="27:27" x14ac:dyDescent="0.35">
      <c r="AA206" s="46"/>
    </row>
    <row r="207" spans="27:27" x14ac:dyDescent="0.35">
      <c r="AA207" s="46"/>
    </row>
  </sheetData>
  <mergeCells count="35">
    <mergeCell ref="C136:D136"/>
    <mergeCell ref="E106:H106"/>
    <mergeCell ref="I106:L106"/>
    <mergeCell ref="L75:O75"/>
    <mergeCell ref="V185:Y185"/>
    <mergeCell ref="V186:Y186"/>
    <mergeCell ref="V188:Y188"/>
    <mergeCell ref="V160:Y160"/>
    <mergeCell ref="V162:Y162"/>
    <mergeCell ref="V173:Y173"/>
    <mergeCell ref="V161:Y161"/>
    <mergeCell ref="V165:Y165"/>
    <mergeCell ref="V166:Y166"/>
    <mergeCell ref="C117:D117"/>
    <mergeCell ref="G70:H70"/>
    <mergeCell ref="I68:L68"/>
    <mergeCell ref="C75:D75"/>
    <mergeCell ref="C104:D104"/>
    <mergeCell ref="G83:H83"/>
    <mergeCell ref="AF3:AI3"/>
    <mergeCell ref="AJ3:AM3"/>
    <mergeCell ref="B1:Z1"/>
    <mergeCell ref="O70:O71"/>
    <mergeCell ref="P2:S2"/>
    <mergeCell ref="U2:W2"/>
    <mergeCell ref="R3:S3"/>
    <mergeCell ref="U3:U4"/>
    <mergeCell ref="V3:V4"/>
    <mergeCell ref="W3:W4"/>
    <mergeCell ref="P3:P4"/>
    <mergeCell ref="Q3:Q4"/>
    <mergeCell ref="E68:H68"/>
    <mergeCell ref="E65:M65"/>
    <mergeCell ref="G71:H71"/>
    <mergeCell ref="C29:D29"/>
  </mergeCells>
  <pageMargins left="0" right="0" top="0.25" bottom="0.5" header="0.3" footer="0.3"/>
  <pageSetup scale="73" fitToHeight="0" orientation="landscape" r:id="rId1"/>
  <headerFooter>
    <oddFooter>&amp;C&amp;P of &amp;N&amp;R&amp;D</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37" customWidth="1"/>
    <col min="2" max="2" width="33.26953125" style="337" customWidth="1"/>
    <col min="3" max="3" width="8.81640625" style="361" customWidth="1"/>
    <col min="4" max="4" width="15.7265625" style="337" customWidth="1"/>
    <col min="5" max="5" width="10.1796875" style="337" customWidth="1"/>
    <col min="6" max="6" width="13.90625" style="337" customWidth="1"/>
    <col min="7" max="7" width="11.26953125" style="361" customWidth="1"/>
    <col min="8" max="8" width="11.36328125" style="337" customWidth="1"/>
    <col min="9" max="9" width="50.90625" style="337" customWidth="1"/>
    <col min="10" max="10" width="8.7265625" style="337"/>
    <col min="11" max="11" width="9.453125" style="337" bestFit="1" customWidth="1"/>
    <col min="12" max="16384" width="8.7265625" style="337"/>
  </cols>
  <sheetData>
    <row r="1" spans="1:9" ht="20" x14ac:dyDescent="0.35">
      <c r="A1" s="1241" t="s">
        <v>82</v>
      </c>
      <c r="B1" s="1241"/>
      <c r="C1" s="1241"/>
      <c r="D1" s="1241"/>
      <c r="E1" s="1241"/>
      <c r="F1" s="1241"/>
      <c r="G1" s="1241"/>
      <c r="H1" s="1241"/>
      <c r="I1" s="1241"/>
    </row>
    <row r="2" spans="1:9" ht="18.5" customHeight="1" x14ac:dyDescent="0.35">
      <c r="A2" s="1242" t="s">
        <v>391</v>
      </c>
      <c r="B2" s="1242"/>
      <c r="C2" s="1242"/>
      <c r="D2" s="1242"/>
      <c r="E2" s="1242"/>
      <c r="F2" s="1242"/>
      <c r="G2" s="1242"/>
      <c r="H2" s="1242"/>
      <c r="I2" s="1242"/>
    </row>
    <row r="3" spans="1:9" ht="18.5" customHeight="1" thickBot="1" x14ac:dyDescent="0.4">
      <c r="A3" s="664"/>
      <c r="B3" s="664"/>
      <c r="C3" s="664"/>
      <c r="D3" s="664"/>
      <c r="E3" s="664"/>
      <c r="F3" s="664"/>
      <c r="G3" s="1242"/>
      <c r="H3" s="1242"/>
      <c r="I3" s="664"/>
    </row>
    <row r="4" spans="1:9" ht="18.5" customHeight="1" x14ac:dyDescent="0.35">
      <c r="A4" s="1222" t="s">
        <v>390</v>
      </c>
      <c r="B4" s="1223"/>
      <c r="C4" s="1223"/>
      <c r="D4" s="1223"/>
      <c r="E4" s="706"/>
      <c r="F4" s="1234" t="str">
        <f>+'New Year-Full Year'!P3&amp;" Proposed"</f>
        <v>2024 Budget Proposed</v>
      </c>
      <c r="G4" s="1234" t="str">
        <f>+'New Year-Full Year'!P3&amp;" Current"</f>
        <v>2024 Budget Current</v>
      </c>
      <c r="H4" s="1234" t="str">
        <f>+'New Year-Full Year'!Q3</f>
        <v>2023 Budget</v>
      </c>
      <c r="I4" s="707"/>
    </row>
    <row r="5" spans="1:9" ht="38" customHeight="1" thickBot="1" x14ac:dyDescent="0.4">
      <c r="A5" s="708"/>
      <c r="B5" s="709" t="s">
        <v>394</v>
      </c>
      <c r="C5" s="710" t="s">
        <v>399</v>
      </c>
      <c r="D5" s="711" t="s">
        <v>395</v>
      </c>
      <c r="E5" s="711"/>
      <c r="F5" s="1227"/>
      <c r="G5" s="1227"/>
      <c r="H5" s="1227"/>
      <c r="I5" s="712" t="s">
        <v>407</v>
      </c>
    </row>
    <row r="6" spans="1:9" ht="18.5" customHeight="1" x14ac:dyDescent="0.35">
      <c r="A6" s="715" t="s">
        <v>341</v>
      </c>
      <c r="B6" s="716" t="s">
        <v>396</v>
      </c>
      <c r="C6" s="717" t="s">
        <v>400</v>
      </c>
      <c r="D6" s="1235" t="s">
        <v>104</v>
      </c>
      <c r="E6" s="1235"/>
      <c r="F6" s="693">
        <f>ROUND(+H6*1.01,0)-13</f>
        <v>17459</v>
      </c>
      <c r="G6" s="718">
        <f>+'New Year-Full Year'!P100</f>
        <v>17818</v>
      </c>
      <c r="H6" s="718">
        <f>+'New Year-Full Year'!Q100</f>
        <v>17299</v>
      </c>
      <c r="I6" s="1240" t="s">
        <v>419</v>
      </c>
    </row>
    <row r="7" spans="1:9" ht="18.5" customHeight="1" x14ac:dyDescent="0.35">
      <c r="A7" s="719"/>
      <c r="B7" s="695" t="s">
        <v>392</v>
      </c>
      <c r="C7" s="695"/>
      <c r="D7" s="1236"/>
      <c r="E7" s="1236"/>
      <c r="F7" s="696">
        <f>+F6-$H6</f>
        <v>160</v>
      </c>
      <c r="G7" s="697">
        <f>+G6-$H6</f>
        <v>519</v>
      </c>
      <c r="H7" s="695"/>
      <c r="I7" s="1229"/>
    </row>
    <row r="8" spans="1:9" ht="16" thickBot="1" x14ac:dyDescent="0.4">
      <c r="A8" s="350"/>
      <c r="B8" s="342" t="s">
        <v>398</v>
      </c>
      <c r="C8" s="698"/>
      <c r="D8" s="1237"/>
      <c r="E8" s="1237"/>
      <c r="F8" s="738">
        <f>+F7/$H6</f>
        <v>9.2490895427481349E-3</v>
      </c>
      <c r="G8" s="699">
        <f>+G7/$H6</f>
        <v>3.0001734204289265E-2</v>
      </c>
      <c r="H8" s="342"/>
      <c r="I8" s="1233"/>
    </row>
    <row r="9" spans="1:9" ht="18.5" customHeight="1" x14ac:dyDescent="0.35">
      <c r="A9" s="720" t="s">
        <v>342</v>
      </c>
      <c r="B9" s="692" t="s">
        <v>397</v>
      </c>
      <c r="C9" s="691" t="s">
        <v>400</v>
      </c>
      <c r="D9" s="1238" t="s">
        <v>414</v>
      </c>
      <c r="E9" s="1238"/>
      <c r="F9" s="693">
        <f>ROUND(+H9*1.01,0)</f>
        <v>3296</v>
      </c>
      <c r="G9" s="694">
        <f>+'New Year-Full Year'!P101</f>
        <v>3361</v>
      </c>
      <c r="H9" s="694">
        <f>+'New Year-Full Year'!Q101</f>
        <v>3263</v>
      </c>
      <c r="I9" s="1240" t="s">
        <v>419</v>
      </c>
    </row>
    <row r="10" spans="1:9" ht="18.5" customHeight="1" x14ac:dyDescent="0.35">
      <c r="A10" s="719"/>
      <c r="B10" s="695" t="s">
        <v>392</v>
      </c>
      <c r="C10" s="695"/>
      <c r="D10" s="1236"/>
      <c r="E10" s="1236"/>
      <c r="F10" s="696">
        <f>+F9-$H9</f>
        <v>33</v>
      </c>
      <c r="G10" s="697">
        <f>+G9-$H9</f>
        <v>98</v>
      </c>
      <c r="H10" s="695"/>
      <c r="I10" s="1229"/>
    </row>
    <row r="11" spans="1:9" x14ac:dyDescent="0.35">
      <c r="A11" s="350"/>
      <c r="B11" s="342" t="s">
        <v>398</v>
      </c>
      <c r="C11" s="698"/>
      <c r="D11" s="1237"/>
      <c r="E11" s="1237"/>
      <c r="F11" s="699">
        <f>+F10/$H9</f>
        <v>1.0113392583512106E-2</v>
      </c>
      <c r="G11" s="699">
        <f>+G10/$H9</f>
        <v>3.0033711308611707E-2</v>
      </c>
      <c r="H11" s="342"/>
      <c r="I11" s="1233"/>
    </row>
    <row r="12" spans="1:9" ht="18.5" customHeight="1" x14ac:dyDescent="0.35">
      <c r="A12" s="720" t="s">
        <v>343</v>
      </c>
      <c r="B12" s="692" t="s">
        <v>288</v>
      </c>
      <c r="C12" s="691" t="s">
        <v>400</v>
      </c>
      <c r="D12" s="1238" t="s">
        <v>44</v>
      </c>
      <c r="E12" s="1238"/>
      <c r="F12" s="693">
        <v>7634</v>
      </c>
      <c r="G12" s="694" t="e">
        <f>+'New Year-Full Year'!#REF!</f>
        <v>#REF!</v>
      </c>
      <c r="H12" s="694" t="e">
        <f>+'New Year-Full Year'!#REF!</f>
        <v>#REF!</v>
      </c>
      <c r="I12" s="1228" t="s">
        <v>408</v>
      </c>
    </row>
    <row r="13" spans="1:9" ht="18.5" customHeight="1" x14ac:dyDescent="0.35">
      <c r="A13" s="719"/>
      <c r="B13" s="695" t="s">
        <v>392</v>
      </c>
      <c r="C13" s="695"/>
      <c r="D13" s="1236"/>
      <c r="E13" s="1236"/>
      <c r="F13" s="696" t="e">
        <f>+F12-$H12</f>
        <v>#REF!</v>
      </c>
      <c r="G13" s="697" t="e">
        <f>+G12-$H12</f>
        <v>#REF!</v>
      </c>
      <c r="H13" s="695"/>
      <c r="I13" s="1229"/>
    </row>
    <row r="14" spans="1:9" ht="16" thickBot="1" x14ac:dyDescent="0.4">
      <c r="A14" s="345"/>
      <c r="B14" s="346" t="s">
        <v>398</v>
      </c>
      <c r="C14" s="721"/>
      <c r="D14" s="1239"/>
      <c r="E14" s="1239"/>
      <c r="F14" s="722" t="e">
        <f>+F13/$H12</f>
        <v>#REF!</v>
      </c>
      <c r="G14" s="722" t="e">
        <f>+G13/$H12</f>
        <v>#REF!</v>
      </c>
      <c r="H14" s="346"/>
      <c r="I14" s="1230"/>
    </row>
    <row r="15" spans="1:9" ht="16" thickBot="1" x14ac:dyDescent="0.4"/>
    <row r="16" spans="1:9" ht="18.5" customHeight="1" x14ac:dyDescent="0.35">
      <c r="A16" s="1222" t="s">
        <v>402</v>
      </c>
      <c r="B16" s="1223"/>
      <c r="C16" s="1223"/>
      <c r="D16" s="1223"/>
      <c r="E16" s="706"/>
      <c r="F16" s="1234" t="str">
        <f>+F$4</f>
        <v>2024 Budget Proposed</v>
      </c>
      <c r="G16" s="1234" t="str">
        <f>+G$4</f>
        <v>2024 Budget Current</v>
      </c>
      <c r="H16" s="1234" t="str">
        <f>+H$4</f>
        <v>2023 Budget</v>
      </c>
      <c r="I16" s="707"/>
    </row>
    <row r="17" spans="1:11" ht="38" customHeight="1" thickBot="1" x14ac:dyDescent="0.4">
      <c r="A17" s="708"/>
      <c r="B17" s="709" t="s">
        <v>394</v>
      </c>
      <c r="C17" s="710" t="s">
        <v>403</v>
      </c>
      <c r="D17" s="1227" t="s">
        <v>404</v>
      </c>
      <c r="E17" s="1227"/>
      <c r="F17" s="1227"/>
      <c r="G17" s="1227"/>
      <c r="H17" s="1227"/>
      <c r="I17" s="712" t="str">
        <f>+I$5</f>
        <v>Notes / Rational for change</v>
      </c>
    </row>
    <row r="18" spans="1:11" x14ac:dyDescent="0.35">
      <c r="A18" s="719" t="s">
        <v>341</v>
      </c>
      <c r="B18" s="663" t="s">
        <v>401</v>
      </c>
      <c r="C18" s="713">
        <v>25</v>
      </c>
      <c r="D18" s="704" t="s">
        <v>405</v>
      </c>
      <c r="E18" s="724">
        <v>13.78</v>
      </c>
      <c r="F18" s="714">
        <f>+$C18*$E18*52</f>
        <v>17914</v>
      </c>
      <c r="G18" s="714">
        <f>+$C18*$E19*52</f>
        <v>17914</v>
      </c>
      <c r="H18" s="714">
        <f>+$C18*$E20*52</f>
        <v>17732</v>
      </c>
      <c r="I18" s="1229" t="s">
        <v>420</v>
      </c>
      <c r="K18" s="341"/>
    </row>
    <row r="19" spans="1:11" x14ac:dyDescent="0.35">
      <c r="A19" s="719"/>
      <c r="B19" s="695" t="s">
        <v>392</v>
      </c>
      <c r="C19" s="700"/>
      <c r="D19" s="704" t="s">
        <v>406</v>
      </c>
      <c r="E19" s="724">
        <v>13.78</v>
      </c>
      <c r="F19" s="696">
        <f>+F18-$H18</f>
        <v>182</v>
      </c>
      <c r="G19" s="697">
        <f>+G18-$H18</f>
        <v>182</v>
      </c>
      <c r="H19" s="340"/>
      <c r="I19" s="1229"/>
    </row>
    <row r="20" spans="1:11" x14ac:dyDescent="0.35">
      <c r="A20" s="350"/>
      <c r="B20" s="342" t="s">
        <v>398</v>
      </c>
      <c r="C20" s="698"/>
      <c r="D20" s="705" t="s">
        <v>263</v>
      </c>
      <c r="E20" s="725">
        <v>13.64</v>
      </c>
      <c r="F20" s="699">
        <f>+F19/$H18</f>
        <v>1.0263929618768328E-2</v>
      </c>
      <c r="G20" s="699">
        <f>+G19/$H18</f>
        <v>1.0263929618768328E-2</v>
      </c>
      <c r="H20" s="342"/>
      <c r="I20" s="1233"/>
    </row>
    <row r="21" spans="1:11" x14ac:dyDescent="0.35">
      <c r="A21" s="720" t="s">
        <v>342</v>
      </c>
      <c r="B21" s="692" t="s">
        <v>409</v>
      </c>
      <c r="C21" s="702">
        <v>20</v>
      </c>
      <c r="D21" s="703" t="s">
        <v>405</v>
      </c>
      <c r="E21" s="726">
        <v>11.57</v>
      </c>
      <c r="F21" s="714">
        <f>+$C21*$E21*52</f>
        <v>12032.800000000001</v>
      </c>
      <c r="G21" s="714">
        <f>+$C21*$E22*52</f>
        <v>12157.599999999999</v>
      </c>
      <c r="H21" s="714">
        <f>+$C21*$E23*52</f>
        <v>12032.800000000001</v>
      </c>
      <c r="I21" s="1228" t="s">
        <v>411</v>
      </c>
    </row>
    <row r="22" spans="1:11" x14ac:dyDescent="0.35">
      <c r="A22" s="719"/>
      <c r="B22" s="695" t="s">
        <v>392</v>
      </c>
      <c r="C22" s="700"/>
      <c r="D22" s="704" t="s">
        <v>406</v>
      </c>
      <c r="E22" s="724">
        <v>11.69</v>
      </c>
      <c r="F22" s="696">
        <f>+F21-$H21</f>
        <v>0</v>
      </c>
      <c r="G22" s="697">
        <f>+G21-$H21</f>
        <v>124.79999999999745</v>
      </c>
      <c r="H22" s="340"/>
      <c r="I22" s="1229"/>
    </row>
    <row r="23" spans="1:11" x14ac:dyDescent="0.35">
      <c r="A23" s="350"/>
      <c r="B23" s="342" t="s">
        <v>398</v>
      </c>
      <c r="C23" s="698"/>
      <c r="D23" s="705" t="s">
        <v>263</v>
      </c>
      <c r="E23" s="725">
        <v>11.57</v>
      </c>
      <c r="F23" s="699">
        <f>+F22/$H21</f>
        <v>0</v>
      </c>
      <c r="G23" s="699">
        <f>+G22/$H21</f>
        <v>1.0371650821088811E-2</v>
      </c>
      <c r="H23" s="342"/>
      <c r="I23" s="1233"/>
    </row>
    <row r="24" spans="1:11" ht="15.5" customHeight="1" x14ac:dyDescent="0.35">
      <c r="A24" s="720" t="s">
        <v>343</v>
      </c>
      <c r="B24" s="692" t="s">
        <v>410</v>
      </c>
      <c r="C24" s="702">
        <v>7.5</v>
      </c>
      <c r="D24" s="703" t="s">
        <v>405</v>
      </c>
      <c r="E24" s="726">
        <v>11.22</v>
      </c>
      <c r="F24" s="714">
        <f>+$C24*$E24*52</f>
        <v>4375.8</v>
      </c>
      <c r="G24" s="714">
        <f>+$C24*$E25*52</f>
        <v>4418.7</v>
      </c>
      <c r="H24" s="714">
        <f>+$C24*$E26*52</f>
        <v>4375.8</v>
      </c>
      <c r="I24" s="1228" t="s">
        <v>411</v>
      </c>
    </row>
    <row r="25" spans="1:11" x14ac:dyDescent="0.35">
      <c r="A25" s="719"/>
      <c r="B25" s="695" t="s">
        <v>392</v>
      </c>
      <c r="C25" s="700"/>
      <c r="D25" s="704" t="s">
        <v>406</v>
      </c>
      <c r="E25" s="724">
        <v>11.33</v>
      </c>
      <c r="F25" s="696">
        <f>+F24-$H24</f>
        <v>0</v>
      </c>
      <c r="G25" s="697">
        <f>+G24-$H24</f>
        <v>42.899999999999636</v>
      </c>
      <c r="H25" s="340"/>
      <c r="I25" s="1229"/>
    </row>
    <row r="26" spans="1:11" x14ac:dyDescent="0.35">
      <c r="A26" s="350"/>
      <c r="B26" s="342" t="s">
        <v>398</v>
      </c>
      <c r="C26" s="698"/>
      <c r="D26" s="705" t="s">
        <v>263</v>
      </c>
      <c r="E26" s="725">
        <v>11.22</v>
      </c>
      <c r="F26" s="699">
        <f>+F25/$H24</f>
        <v>0</v>
      </c>
      <c r="G26" s="699">
        <f>+G25/$H24</f>
        <v>9.8039215686273676E-3</v>
      </c>
      <c r="H26" s="342"/>
      <c r="I26" s="1233"/>
    </row>
    <row r="27" spans="1:11" ht="18.5" customHeight="1" x14ac:dyDescent="0.35">
      <c r="A27" s="720" t="s">
        <v>346</v>
      </c>
      <c r="B27" s="692" t="s">
        <v>393</v>
      </c>
      <c r="C27" s="702">
        <v>40</v>
      </c>
      <c r="D27" s="703" t="s">
        <v>405</v>
      </c>
      <c r="E27" s="726">
        <f>ROUND(+E29*1.02,2)</f>
        <v>17.690000000000001</v>
      </c>
      <c r="F27" s="714">
        <f>+$C27*$E27*52</f>
        <v>36795.200000000004</v>
      </c>
      <c r="G27" s="714">
        <f>+$C27*$E28*52</f>
        <v>36420.800000000003</v>
      </c>
      <c r="H27" s="714">
        <f>+$C27*$E29*52</f>
        <v>36067.200000000004</v>
      </c>
      <c r="I27" s="1228" t="s">
        <v>413</v>
      </c>
    </row>
    <row r="28" spans="1:11" ht="18.5" customHeight="1" x14ac:dyDescent="0.35">
      <c r="A28" s="719"/>
      <c r="B28" s="695" t="s">
        <v>392</v>
      </c>
      <c r="C28" s="700"/>
      <c r="D28" s="704" t="s">
        <v>406</v>
      </c>
      <c r="E28" s="724">
        <v>17.510000000000002</v>
      </c>
      <c r="F28" s="696">
        <f>+F27-$H27</f>
        <v>728</v>
      </c>
      <c r="G28" s="697">
        <f>+G27-$H27</f>
        <v>353.59999999999854</v>
      </c>
      <c r="H28" s="340"/>
      <c r="I28" s="1229"/>
    </row>
    <row r="29" spans="1:11" x14ac:dyDescent="0.35">
      <c r="A29" s="350"/>
      <c r="B29" s="342" t="s">
        <v>398</v>
      </c>
      <c r="C29" s="698"/>
      <c r="D29" s="705" t="s">
        <v>263</v>
      </c>
      <c r="E29" s="725">
        <v>17.34</v>
      </c>
      <c r="F29" s="699">
        <f>+F28/$H27</f>
        <v>2.0184544405997689E-2</v>
      </c>
      <c r="G29" s="699">
        <f>+G28/$H27</f>
        <v>9.8039215686274092E-3</v>
      </c>
      <c r="H29" s="342"/>
      <c r="I29" s="1233"/>
    </row>
    <row r="30" spans="1:11" ht="18.5" customHeight="1" x14ac:dyDescent="0.35">
      <c r="A30" s="719" t="s">
        <v>347</v>
      </c>
      <c r="B30" s="663" t="s">
        <v>412</v>
      </c>
      <c r="C30" s="713">
        <v>15</v>
      </c>
      <c r="D30" s="704" t="s">
        <v>405</v>
      </c>
      <c r="E30" s="724">
        <f>ROUND(+E32*(1+0),2)</f>
        <v>14.57</v>
      </c>
      <c r="F30" s="714">
        <f>+$C30*$E30*52</f>
        <v>11364.6</v>
      </c>
      <c r="G30" s="714">
        <f>+$C30*$E31*52</f>
        <v>11481.6</v>
      </c>
      <c r="H30" s="714">
        <f>+$C30*$E32*52</f>
        <v>11364.6</v>
      </c>
      <c r="I30" s="1229" t="s">
        <v>411</v>
      </c>
    </row>
    <row r="31" spans="1:11" ht="18.5" customHeight="1" x14ac:dyDescent="0.35">
      <c r="A31" s="719"/>
      <c r="B31" s="695" t="s">
        <v>392</v>
      </c>
      <c r="C31" s="700"/>
      <c r="D31" s="704" t="s">
        <v>406</v>
      </c>
      <c r="E31" s="724">
        <v>14.72</v>
      </c>
      <c r="F31" s="696">
        <f>+F30-$H30</f>
        <v>0</v>
      </c>
      <c r="G31" s="697">
        <f>+G30-$H30</f>
        <v>117</v>
      </c>
      <c r="H31" s="340"/>
      <c r="I31" s="1229"/>
    </row>
    <row r="32" spans="1:11" ht="16" thickBot="1" x14ac:dyDescent="0.4">
      <c r="A32" s="345"/>
      <c r="B32" s="346" t="s">
        <v>398</v>
      </c>
      <c r="C32" s="721"/>
      <c r="D32" s="733" t="s">
        <v>263</v>
      </c>
      <c r="E32" s="734">
        <v>14.57</v>
      </c>
      <c r="F32" s="737">
        <f>+F31/$H30</f>
        <v>0</v>
      </c>
      <c r="G32" s="722">
        <f>+G31/$H30</f>
        <v>1.029512697323267E-2</v>
      </c>
      <c r="H32" s="346"/>
      <c r="I32" s="1230"/>
    </row>
    <row r="33" spans="1:9" ht="16" thickBot="1" x14ac:dyDescent="0.4">
      <c r="A33" s="340"/>
      <c r="B33" s="340"/>
      <c r="C33" s="700"/>
      <c r="D33" s="704"/>
      <c r="E33" s="724"/>
      <c r="F33" s="701"/>
      <c r="G33" s="701"/>
      <c r="H33" s="340"/>
      <c r="I33" s="723"/>
    </row>
    <row r="34" spans="1:9" ht="18" x14ac:dyDescent="0.35">
      <c r="A34" s="1222" t="s">
        <v>353</v>
      </c>
      <c r="B34" s="1223"/>
      <c r="C34" s="1223"/>
      <c r="D34" s="1223"/>
      <c r="E34" s="1223"/>
      <c r="F34" s="1234" t="str">
        <f>+F$4</f>
        <v>2024 Budget Proposed</v>
      </c>
      <c r="G34" s="1234" t="str">
        <f>+G$4</f>
        <v>2024 Budget Current</v>
      </c>
      <c r="H34" s="1234" t="str">
        <f>+H$4</f>
        <v>2023 Budget</v>
      </c>
      <c r="I34" s="707"/>
    </row>
    <row r="35" spans="1:9" ht="34" customHeight="1" thickBot="1" x14ac:dyDescent="0.4">
      <c r="A35" s="1224"/>
      <c r="B35" s="1225"/>
      <c r="C35" s="1225"/>
      <c r="D35" s="1225"/>
      <c r="E35" s="1225"/>
      <c r="F35" s="1227"/>
      <c r="G35" s="1227"/>
      <c r="H35" s="1227"/>
      <c r="I35" s="712" t="str">
        <f>+I$5</f>
        <v>Notes / Rational for change</v>
      </c>
    </row>
    <row r="36" spans="1:9" x14ac:dyDescent="0.35">
      <c r="A36" s="350" t="s">
        <v>415</v>
      </c>
      <c r="B36" s="342"/>
      <c r="C36" s="698"/>
      <c r="D36" s="342"/>
      <c r="E36" s="342"/>
      <c r="F36" s="730">
        <f>+G36</f>
        <v>14264</v>
      </c>
      <c r="G36" s="730">
        <f>3650+10614</f>
        <v>14264</v>
      </c>
      <c r="H36" s="730">
        <f>3501+12642+1</f>
        <v>16144</v>
      </c>
      <c r="I36" s="351"/>
    </row>
    <row r="37" spans="1:9" x14ac:dyDescent="0.35">
      <c r="A37" s="731" t="s">
        <v>47</v>
      </c>
      <c r="B37" s="727"/>
      <c r="C37" s="728"/>
      <c r="D37" s="727"/>
      <c r="E37" s="727"/>
      <c r="F37" s="729">
        <f>+G37</f>
        <v>30259</v>
      </c>
      <c r="G37" s="729">
        <f>800+500+13800+3000+3375+1500+2759+1000+400+700+925+1500</f>
        <v>30259</v>
      </c>
      <c r="H37" s="729">
        <f>800+500+13800+3000+3375+1500+2759+1000+400+700+925+1500</f>
        <v>30259</v>
      </c>
      <c r="I37" s="732" t="s">
        <v>417</v>
      </c>
    </row>
    <row r="38" spans="1:9" x14ac:dyDescent="0.35">
      <c r="A38" s="1231" t="s">
        <v>416</v>
      </c>
      <c r="B38" s="1232"/>
      <c r="C38" s="702"/>
      <c r="D38" s="703"/>
      <c r="E38" s="726"/>
      <c r="F38" s="736">
        <f>+G38</f>
        <v>188497</v>
      </c>
      <c r="G38" s="736">
        <f>102099+86398</f>
        <v>188497</v>
      </c>
      <c r="H38" s="736">
        <f>100670+48251+18950+8843</f>
        <v>176714</v>
      </c>
      <c r="I38" s="1228" t="s">
        <v>418</v>
      </c>
    </row>
    <row r="39" spans="1:9" x14ac:dyDescent="0.35">
      <c r="A39" s="719"/>
      <c r="B39" s="695"/>
      <c r="C39" s="700"/>
      <c r="D39" s="704"/>
      <c r="E39" s="724"/>
      <c r="F39" s="696">
        <f>+F38-$H38</f>
        <v>11783</v>
      </c>
      <c r="G39" s="697">
        <f>+G38-$H38</f>
        <v>11783</v>
      </c>
      <c r="H39" s="340"/>
      <c r="I39" s="1229"/>
    </row>
    <row r="40" spans="1:9" ht="16" thickBot="1" x14ac:dyDescent="0.4">
      <c r="A40" s="345"/>
      <c r="B40" s="346"/>
      <c r="C40" s="721"/>
      <c r="D40" s="733"/>
      <c r="E40" s="734"/>
      <c r="F40" s="722">
        <f>+F39/$H38</f>
        <v>6.667836164650226E-2</v>
      </c>
      <c r="G40" s="722">
        <f>+G39/$H38</f>
        <v>6.667836164650226E-2</v>
      </c>
      <c r="H40" s="346"/>
      <c r="I40" s="1230"/>
    </row>
    <row r="41" spans="1:9" ht="16" thickBot="1" x14ac:dyDescent="0.4"/>
    <row r="42" spans="1:9" ht="18" x14ac:dyDescent="0.35">
      <c r="A42" s="1222" t="s">
        <v>54</v>
      </c>
      <c r="B42" s="1223"/>
      <c r="C42" s="1223"/>
      <c r="D42" s="1223"/>
      <c r="E42" s="1223"/>
      <c r="F42" s="1226">
        <f>+F6+F9+F12+F18+F21+F24+F27+F30+F36+F37+F38</f>
        <v>343891.4</v>
      </c>
      <c r="G42" s="1226" t="e">
        <f>+G6+G9+G12+G18+G21+G24+G27+G30+G36+G37+G38</f>
        <v>#REF!</v>
      </c>
      <c r="H42" s="1226" t="e">
        <f>+H6+H9+H12+H18+H21+H24+H27+H30+H36+H37+H38</f>
        <v>#REF!</v>
      </c>
      <c r="I42" s="707"/>
    </row>
    <row r="43" spans="1:9" ht="18.5" thickBot="1" x14ac:dyDescent="0.4">
      <c r="A43" s="1224"/>
      <c r="B43" s="1225"/>
      <c r="C43" s="1225"/>
      <c r="D43" s="1225"/>
      <c r="E43" s="1225"/>
      <c r="F43" s="1227"/>
      <c r="G43" s="1227"/>
      <c r="H43" s="1227"/>
      <c r="I43" s="712"/>
    </row>
    <row r="45" spans="1:9" x14ac:dyDescent="0.35">
      <c r="F45" s="735"/>
      <c r="G45" s="690"/>
      <c r="H45" s="735"/>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showGridLines="0" tabSelected="1" topLeftCell="A5" workbookViewId="0">
      <selection activeCell="B11" sqref="B11"/>
    </sheetView>
  </sheetViews>
  <sheetFormatPr defaultRowHeight="14.5" x14ac:dyDescent="0.35"/>
  <cols>
    <col min="1" max="1" width="37.6328125" style="132" customWidth="1"/>
    <col min="2" max="2" width="8.7265625" style="132"/>
    <col min="3" max="3" width="10.90625" style="132" customWidth="1"/>
    <col min="4" max="4" width="32.453125" style="132" customWidth="1"/>
    <col min="5" max="16384" width="8.7265625" style="132"/>
  </cols>
  <sheetData>
    <row r="2" spans="1:4" ht="15.5" x14ac:dyDescent="0.35">
      <c r="A2" s="1403" t="s">
        <v>768</v>
      </c>
      <c r="B2" s="1403"/>
      <c r="C2" s="1403"/>
      <c r="D2" s="1403"/>
    </row>
    <row r="5" spans="1:4" x14ac:dyDescent="0.35">
      <c r="A5" s="800" t="s">
        <v>765</v>
      </c>
      <c r="B5" s="1412" t="s">
        <v>763</v>
      </c>
      <c r="C5" s="1412" t="s">
        <v>182</v>
      </c>
      <c r="D5" s="1412" t="s">
        <v>766</v>
      </c>
    </row>
    <row r="6" spans="1:4" x14ac:dyDescent="0.35">
      <c r="A6" s="132" t="s">
        <v>764</v>
      </c>
      <c r="C6" s="1402">
        <v>1008</v>
      </c>
      <c r="D6" s="132" t="s">
        <v>767</v>
      </c>
    </row>
    <row r="7" spans="1:4" x14ac:dyDescent="0.35">
      <c r="A7" s="132" t="s">
        <v>769</v>
      </c>
      <c r="B7" s="1404">
        <v>112.35</v>
      </c>
      <c r="C7" s="1405">
        <f>+B7*12</f>
        <v>1348.1999999999998</v>
      </c>
      <c r="D7" s="132" t="s">
        <v>767</v>
      </c>
    </row>
    <row r="8" spans="1:4" x14ac:dyDescent="0.35">
      <c r="A8" s="132" t="s">
        <v>770</v>
      </c>
      <c r="D8" s="132" t="s">
        <v>771</v>
      </c>
    </row>
    <row r="9" spans="1:4" x14ac:dyDescent="0.35">
      <c r="A9" s="132" t="s">
        <v>772</v>
      </c>
      <c r="C9" s="1402">
        <v>500</v>
      </c>
      <c r="D9" s="132" t="s">
        <v>767</v>
      </c>
    </row>
    <row r="10" spans="1:4" x14ac:dyDescent="0.35">
      <c r="A10" s="132" t="s">
        <v>773</v>
      </c>
      <c r="C10" s="1402">
        <v>300</v>
      </c>
      <c r="D10" s="132" t="s">
        <v>767</v>
      </c>
    </row>
    <row r="11" spans="1:4" x14ac:dyDescent="0.35">
      <c r="A11" s="132" t="s">
        <v>774</v>
      </c>
      <c r="B11" s="1401">
        <v>160</v>
      </c>
      <c r="C11" s="1405">
        <f>+B11*12</f>
        <v>1920</v>
      </c>
      <c r="D11" s="132" t="s">
        <v>267</v>
      </c>
    </row>
    <row r="12" spans="1:4" x14ac:dyDescent="0.35">
      <c r="A12" s="132" t="s">
        <v>775</v>
      </c>
      <c r="B12" s="1401">
        <v>118.6</v>
      </c>
      <c r="C12" s="1405">
        <f>+B12*12</f>
        <v>1423.1999999999998</v>
      </c>
      <c r="D12" s="132" t="s">
        <v>267</v>
      </c>
    </row>
    <row r="13" spans="1:4" ht="29" x14ac:dyDescent="0.35">
      <c r="A13" s="132" t="s">
        <v>779</v>
      </c>
      <c r="B13" s="1401"/>
      <c r="C13" s="1402">
        <v>2000</v>
      </c>
      <c r="D13" s="772" t="s">
        <v>780</v>
      </c>
    </row>
    <row r="14" spans="1:4" x14ac:dyDescent="0.35">
      <c r="A14" s="132" t="s">
        <v>781</v>
      </c>
      <c r="B14" s="1401"/>
      <c r="C14" s="1402">
        <f>10000-9349.4+50</f>
        <v>700.60000000000036</v>
      </c>
    </row>
    <row r="15" spans="1:4" x14ac:dyDescent="0.35">
      <c r="A15" s="132" t="s">
        <v>776</v>
      </c>
      <c r="B15" s="1401">
        <v>25</v>
      </c>
      <c r="C15" s="1405">
        <f>+B15*12</f>
        <v>300</v>
      </c>
      <c r="D15" s="132" t="s">
        <v>767</v>
      </c>
    </row>
    <row r="16" spans="1:4" x14ac:dyDescent="0.35">
      <c r="A16" s="800" t="s">
        <v>777</v>
      </c>
      <c r="B16" s="800"/>
      <c r="C16" s="1406">
        <f>SUM(C6:C15)</f>
        <v>9500</v>
      </c>
    </row>
    <row r="18" spans="1:3" x14ac:dyDescent="0.35">
      <c r="A18" s="132" t="s">
        <v>782</v>
      </c>
      <c r="C18" s="1407">
        <f>+C6+C7+C9+C10+C15</f>
        <v>3456.2</v>
      </c>
    </row>
    <row r="19" spans="1:3" x14ac:dyDescent="0.35">
      <c r="A19" s="132" t="s">
        <v>783</v>
      </c>
      <c r="C19" s="1407">
        <f>+C11+C12</f>
        <v>3343.2</v>
      </c>
    </row>
    <row r="20" spans="1:3" x14ac:dyDescent="0.35">
      <c r="A20" s="800" t="s">
        <v>784</v>
      </c>
      <c r="B20" s="800"/>
      <c r="C20" s="1406">
        <f>+C16-C18-C19</f>
        <v>2700.6000000000004</v>
      </c>
    </row>
    <row r="21" spans="1:3" x14ac:dyDescent="0.35">
      <c r="C21" s="1407"/>
    </row>
    <row r="23" spans="1:3" x14ac:dyDescent="0.35">
      <c r="A23" s="800" t="s">
        <v>778</v>
      </c>
    </row>
    <row r="24" spans="1:3" x14ac:dyDescent="0.35">
      <c r="A24" s="132" t="s">
        <v>785</v>
      </c>
      <c r="C24" s="1402">
        <v>2000</v>
      </c>
    </row>
    <row r="25" spans="1:3" x14ac:dyDescent="0.35">
      <c r="A25" s="132" t="s">
        <v>786</v>
      </c>
      <c r="C25" s="1402">
        <v>500</v>
      </c>
    </row>
    <row r="26" spans="1:3" x14ac:dyDescent="0.35">
      <c r="A26" s="132" t="s">
        <v>787</v>
      </c>
      <c r="C26" s="1402">
        <v>1000</v>
      </c>
    </row>
    <row r="27" spans="1:3" x14ac:dyDescent="0.35">
      <c r="A27" s="132" t="s">
        <v>788</v>
      </c>
      <c r="C27" s="1402">
        <v>5000</v>
      </c>
    </row>
    <row r="28" spans="1:3" x14ac:dyDescent="0.35">
      <c r="A28" s="132" t="s">
        <v>791</v>
      </c>
      <c r="C28" s="1402">
        <v>2500</v>
      </c>
    </row>
    <row r="29" spans="1:3" x14ac:dyDescent="0.35">
      <c r="A29" s="132" t="s">
        <v>789</v>
      </c>
      <c r="C29" s="1402">
        <v>250</v>
      </c>
    </row>
    <row r="30" spans="1:3" x14ac:dyDescent="0.35">
      <c r="A30" s="800" t="s">
        <v>790</v>
      </c>
      <c r="B30" s="800"/>
      <c r="C30" s="1406">
        <f>SUM(C24:C29)</f>
        <v>11250</v>
      </c>
    </row>
  </sheetData>
  <mergeCells count="1">
    <mergeCell ref="A2:D2"/>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election activeCell="F12" sqref="F12"/>
    </sheetView>
  </sheetViews>
  <sheetFormatPr defaultRowHeight="14.5" x14ac:dyDescent="0.35"/>
  <cols>
    <col min="1" max="1" width="3.6328125" customWidth="1"/>
    <col min="2" max="2" width="29.54296875" customWidth="1"/>
    <col min="3" max="3" width="12.36328125" customWidth="1"/>
    <col min="4" max="4" width="12.453125" customWidth="1"/>
  </cols>
  <sheetData>
    <row r="1" spans="1:5" ht="18.5" x14ac:dyDescent="0.45">
      <c r="B1" s="1408" t="s">
        <v>792</v>
      </c>
    </row>
    <row r="3" spans="1:5" ht="25.5" customHeight="1" x14ac:dyDescent="0.35">
      <c r="A3">
        <v>1</v>
      </c>
      <c r="B3" t="s">
        <v>796</v>
      </c>
      <c r="C3" s="542">
        <v>70000</v>
      </c>
    </row>
    <row r="4" spans="1:5" ht="25.5" customHeight="1" x14ac:dyDescent="0.35">
      <c r="A4">
        <v>2</v>
      </c>
      <c r="B4" t="s">
        <v>793</v>
      </c>
      <c r="C4" s="1409">
        <f>+Technology!C30</f>
        <v>11250</v>
      </c>
    </row>
    <row r="5" spans="1:5" ht="25.5" customHeight="1" x14ac:dyDescent="0.35">
      <c r="A5">
        <v>3</v>
      </c>
      <c r="B5" t="s">
        <v>794</v>
      </c>
      <c r="C5" s="542">
        <v>1500</v>
      </c>
    </row>
    <row r="6" spans="1:5" x14ac:dyDescent="0.35">
      <c r="B6" s="1411" t="s">
        <v>87</v>
      </c>
      <c r="C6" s="1410">
        <v>10000</v>
      </c>
      <c r="D6" s="1409">
        <f>(436000*0.06)-'New Year-Full Year'!Q29</f>
        <v>1260</v>
      </c>
      <c r="E6" t="s">
        <v>797</v>
      </c>
    </row>
    <row r="7" spans="1:5" x14ac:dyDescent="0.35">
      <c r="A7">
        <v>4</v>
      </c>
      <c r="B7" s="1411"/>
      <c r="C7" s="1410"/>
      <c r="D7" s="1409">
        <f>(436000*0.08)-'New Year-Full Year'!Q29</f>
        <v>9980</v>
      </c>
      <c r="E7" t="s">
        <v>798</v>
      </c>
    </row>
    <row r="8" spans="1:5" x14ac:dyDescent="0.35">
      <c r="B8" s="1411"/>
      <c r="C8" s="1410"/>
      <c r="D8" s="1409">
        <f>(436000*0.1)-'New Year-Full Year'!Q29</f>
        <v>18700</v>
      </c>
      <c r="E8" t="s">
        <v>799</v>
      </c>
    </row>
    <row r="10" spans="1:5" x14ac:dyDescent="0.35">
      <c r="A10">
        <v>5</v>
      </c>
      <c r="B10" t="s">
        <v>800</v>
      </c>
      <c r="C10" s="543">
        <f>+C3-C4-C5-C6</f>
        <v>47250</v>
      </c>
    </row>
  </sheetData>
  <mergeCells count="2">
    <mergeCell ref="B6:B8"/>
    <mergeCell ref="C6:C8"/>
  </mergeCells>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topLeftCell="A14" workbookViewId="0">
      <selection activeCell="D41" sqref="D41"/>
    </sheetView>
  </sheetViews>
  <sheetFormatPr defaultRowHeight="14.5" x14ac:dyDescent="0.35"/>
  <cols>
    <col min="1" max="1" width="49.36328125" style="132" customWidth="1"/>
    <col min="2" max="2" width="13.90625" style="132" customWidth="1"/>
    <col min="3" max="3" width="14" style="132" customWidth="1"/>
    <col min="4" max="4" width="14" style="196" customWidth="1"/>
    <col min="5" max="5" width="9.453125" style="132" bestFit="1" customWidth="1"/>
    <col min="6" max="16384" width="8.7265625" style="132"/>
  </cols>
  <sheetData>
    <row r="1" spans="1:5" ht="21" x14ac:dyDescent="0.35">
      <c r="A1" s="1166" t="s">
        <v>730</v>
      </c>
      <c r="B1" s="1166"/>
      <c r="C1" s="1166"/>
    </row>
    <row r="2" spans="1:5" x14ac:dyDescent="0.35">
      <c r="A2" s="132" t="s">
        <v>731</v>
      </c>
      <c r="B2" s="797"/>
      <c r="C2" s="989"/>
      <c r="D2" s="1146"/>
    </row>
    <row r="3" spans="1:5" ht="43.5" customHeight="1" x14ac:dyDescent="0.35">
      <c r="A3" s="818"/>
      <c r="B3" s="1141" t="s">
        <v>729</v>
      </c>
      <c r="C3" s="790" t="s">
        <v>330</v>
      </c>
      <c r="D3" s="1113" t="s">
        <v>717</v>
      </c>
    </row>
    <row r="4" spans="1:5" ht="15" customHeight="1" x14ac:dyDescent="0.35">
      <c r="A4" s="818" t="s">
        <v>740</v>
      </c>
      <c r="B4" s="1142">
        <v>9</v>
      </c>
      <c r="C4" s="1144">
        <v>10</v>
      </c>
      <c r="D4" s="1147">
        <v>10</v>
      </c>
    </row>
    <row r="5" spans="1:5" ht="26" customHeight="1" x14ac:dyDescent="0.35">
      <c r="A5" s="818"/>
      <c r="B5" s="858"/>
      <c r="C5" s="1145" t="s">
        <v>744</v>
      </c>
      <c r="D5" s="1148"/>
    </row>
    <row r="6" spans="1:5" ht="15" customHeight="1" x14ac:dyDescent="0.35">
      <c r="A6" s="1143" t="s">
        <v>37</v>
      </c>
      <c r="B6" s="135">
        <f>+B8-B7</f>
        <v>46565</v>
      </c>
      <c r="C6" s="552">
        <f>+C8-C7</f>
        <v>50055</v>
      </c>
      <c r="D6" s="166">
        <f>+D8-D7</f>
        <v>50055</v>
      </c>
    </row>
    <row r="7" spans="1:5" ht="15" customHeight="1" thickBot="1" x14ac:dyDescent="0.4">
      <c r="A7" s="164" t="s">
        <v>156</v>
      </c>
      <c r="B7" s="137">
        <v>23255</v>
      </c>
      <c r="C7" s="554">
        <v>23255</v>
      </c>
      <c r="D7" s="171">
        <f>+B7</f>
        <v>23255</v>
      </c>
    </row>
    <row r="8" spans="1:5" ht="15" customHeight="1" x14ac:dyDescent="0.35">
      <c r="A8" s="164" t="s">
        <v>738</v>
      </c>
      <c r="B8" s="387">
        <f>46565+23255</f>
        <v>69820</v>
      </c>
      <c r="C8" s="591">
        <v>73310</v>
      </c>
      <c r="D8" s="413">
        <f>+C8</f>
        <v>73310</v>
      </c>
      <c r="E8" s="139" t="s">
        <v>746</v>
      </c>
    </row>
    <row r="9" spans="1:5" ht="15" customHeight="1" x14ac:dyDescent="0.35">
      <c r="A9" s="1122" t="s">
        <v>737</v>
      </c>
      <c r="B9" s="600">
        <v>2977</v>
      </c>
      <c r="C9" s="565">
        <v>2977</v>
      </c>
      <c r="D9" s="395">
        <f>+B9</f>
        <v>2977</v>
      </c>
      <c r="E9" s="420" t="str">
        <f>"      $"&amp;(74671-73310)&amp;" additional from 10 year guidelines"</f>
        <v xml:space="preserve">      $1361 additional from 10 year guidelines</v>
      </c>
    </row>
    <row r="10" spans="1:5" ht="15" customHeight="1" x14ac:dyDescent="0.35">
      <c r="A10" s="183" t="s">
        <v>178</v>
      </c>
      <c r="B10" s="140">
        <f>+B8+B9</f>
        <v>72797</v>
      </c>
      <c r="C10" s="560">
        <f>+C8+C9</f>
        <v>76287</v>
      </c>
      <c r="D10" s="390">
        <f>+D8+D9</f>
        <v>76287</v>
      </c>
    </row>
    <row r="11" spans="1:5" ht="15" customHeight="1" x14ac:dyDescent="0.35">
      <c r="A11" s="176" t="s">
        <v>493</v>
      </c>
      <c r="B11" s="601">
        <v>7.6499999999999999E-2</v>
      </c>
      <c r="C11" s="568">
        <v>7.6499999999999999E-2</v>
      </c>
      <c r="D11" s="1149">
        <f>+$B11</f>
        <v>7.6499999999999999E-2</v>
      </c>
    </row>
    <row r="12" spans="1:5" ht="15" customHeight="1" x14ac:dyDescent="0.35">
      <c r="A12" s="176" t="s">
        <v>272</v>
      </c>
      <c r="B12" s="131">
        <f>ROUND(+B10*B11,0)</f>
        <v>5569</v>
      </c>
      <c r="C12" s="561">
        <f>ROUND(+C10*C11,0)</f>
        <v>5836</v>
      </c>
      <c r="D12" s="188">
        <f>ROUND(+D10*D11,0)</f>
        <v>5836</v>
      </c>
    </row>
    <row r="13" spans="1:5" ht="15" customHeight="1" x14ac:dyDescent="0.35">
      <c r="A13" s="191" t="s">
        <v>180</v>
      </c>
      <c r="B13" s="142">
        <f>+B10+B12</f>
        <v>78366</v>
      </c>
      <c r="C13" s="563">
        <f>+C10+C12</f>
        <v>82123</v>
      </c>
      <c r="D13" s="195">
        <f>+D10+D12</f>
        <v>82123</v>
      </c>
    </row>
    <row r="14" spans="1:5" ht="15" customHeight="1" x14ac:dyDescent="0.35">
      <c r="A14" s="196"/>
      <c r="B14" s="196"/>
      <c r="C14" s="196"/>
    </row>
    <row r="15" spans="1:5" ht="15" customHeight="1" x14ac:dyDescent="0.35">
      <c r="A15" s="197" t="s">
        <v>736</v>
      </c>
      <c r="B15" s="596">
        <v>0.1</v>
      </c>
      <c r="C15" s="579">
        <v>0.1</v>
      </c>
      <c r="D15" s="1150">
        <f>+$B15</f>
        <v>0.1</v>
      </c>
    </row>
    <row r="16" spans="1:5" ht="15" customHeight="1" x14ac:dyDescent="0.35">
      <c r="A16" s="191" t="s">
        <v>187</v>
      </c>
      <c r="B16" s="142">
        <f>ROUND(+B13*B15,0)</f>
        <v>7837</v>
      </c>
      <c r="C16" s="563">
        <f>ROUND(+C13*C15,0)</f>
        <v>8212</v>
      </c>
      <c r="D16" s="195">
        <f>ROUND(+D13*D15,0)</f>
        <v>8212</v>
      </c>
    </row>
    <row r="17" spans="1:5" ht="15" customHeight="1" x14ac:dyDescent="0.35">
      <c r="A17" s="196"/>
      <c r="B17" s="196"/>
      <c r="C17" s="196"/>
    </row>
    <row r="18" spans="1:5" ht="15" customHeight="1" x14ac:dyDescent="0.35">
      <c r="A18" s="197" t="s">
        <v>190</v>
      </c>
      <c r="B18" s="134"/>
      <c r="C18" s="551"/>
      <c r="D18" s="163"/>
    </row>
    <row r="19" spans="1:5" ht="15" customHeight="1" x14ac:dyDescent="0.35">
      <c r="A19" s="176" t="s">
        <v>734</v>
      </c>
      <c r="B19" s="402">
        <v>8.9999999999999993E-3</v>
      </c>
      <c r="C19" s="585">
        <v>8.9999999999999993E-3</v>
      </c>
      <c r="D19" s="399">
        <f>+$B19</f>
        <v>8.9999999999999993E-3</v>
      </c>
      <c r="E19" s="132" t="s">
        <v>745</v>
      </c>
    </row>
    <row r="20" spans="1:5" ht="15" customHeight="1" x14ac:dyDescent="0.35">
      <c r="A20" s="176" t="s">
        <v>733</v>
      </c>
      <c r="B20" s="131">
        <f>ROUND(B$13*B19,0)</f>
        <v>705</v>
      </c>
      <c r="C20" s="1154">
        <f>ROUND(C$13*C19,0)</f>
        <v>739</v>
      </c>
      <c r="D20" s="1155">
        <f>ROUND(D$13*D19,0)</f>
        <v>739</v>
      </c>
    </row>
    <row r="21" spans="1:5" ht="15" customHeight="1" x14ac:dyDescent="0.35">
      <c r="A21" s="176" t="s">
        <v>735</v>
      </c>
      <c r="B21" s="402">
        <v>8.0400000000000003E-3</v>
      </c>
      <c r="C21" s="585">
        <v>8.0400000000000003E-3</v>
      </c>
      <c r="D21" s="399">
        <f>+$B21</f>
        <v>8.0400000000000003E-3</v>
      </c>
      <c r="E21" s="132" t="s">
        <v>745</v>
      </c>
    </row>
    <row r="22" spans="1:5" ht="15" customHeight="1" x14ac:dyDescent="0.35">
      <c r="A22" s="176" t="s">
        <v>733</v>
      </c>
      <c r="B22" s="131">
        <f>ROUND(B$13*B21,0)</f>
        <v>630</v>
      </c>
      <c r="C22" s="1154">
        <f>ROUND(C$13*C21,0)</f>
        <v>660</v>
      </c>
      <c r="D22" s="1155">
        <f>ROUND(D$13*D21,0)</f>
        <v>660</v>
      </c>
    </row>
    <row r="23" spans="1:5" ht="15" customHeight="1" x14ac:dyDescent="0.35">
      <c r="A23" s="152" t="s">
        <v>192</v>
      </c>
      <c r="B23" s="142">
        <f>+B20+B22</f>
        <v>1335</v>
      </c>
      <c r="C23" s="563">
        <f>+C20+C22</f>
        <v>1399</v>
      </c>
      <c r="D23" s="195">
        <f>+D20+D22</f>
        <v>1399</v>
      </c>
    </row>
    <row r="24" spans="1:5" ht="15" customHeight="1" x14ac:dyDescent="0.35"/>
    <row r="25" spans="1:5" ht="15" customHeight="1" x14ac:dyDescent="0.35">
      <c r="A25" s="143" t="s">
        <v>102</v>
      </c>
      <c r="B25" s="214"/>
      <c r="C25" s="588"/>
      <c r="D25" s="391"/>
    </row>
    <row r="26" spans="1:5" ht="15" customHeight="1" x14ac:dyDescent="0.35">
      <c r="A26" s="146" t="s">
        <v>197</v>
      </c>
      <c r="B26" s="215">
        <v>1500</v>
      </c>
      <c r="C26" s="587">
        <v>1500</v>
      </c>
      <c r="D26" s="392">
        <f>+B26</f>
        <v>1500</v>
      </c>
    </row>
    <row r="27" spans="1:5" ht="15" customHeight="1" x14ac:dyDescent="0.35">
      <c r="A27" s="146" t="s">
        <v>743</v>
      </c>
      <c r="B27" s="215">
        <v>1300</v>
      </c>
      <c r="C27" s="587">
        <v>1300</v>
      </c>
      <c r="D27" s="392">
        <f t="shared" ref="D27:D28" si="0">+B27</f>
        <v>1300</v>
      </c>
    </row>
    <row r="28" spans="1:5" ht="15" customHeight="1" x14ac:dyDescent="0.35">
      <c r="A28" s="146" t="s">
        <v>102</v>
      </c>
      <c r="B28" s="215">
        <v>600</v>
      </c>
      <c r="C28" s="587">
        <v>600</v>
      </c>
      <c r="D28" s="392">
        <f t="shared" si="0"/>
        <v>600</v>
      </c>
    </row>
    <row r="29" spans="1:5" ht="15" customHeight="1" x14ac:dyDescent="0.35">
      <c r="A29" s="157" t="s">
        <v>199</v>
      </c>
      <c r="B29" s="216">
        <f>+SUM(B26:B28)</f>
        <v>3400</v>
      </c>
      <c r="C29" s="589">
        <f>+SUM(C26:C28)</f>
        <v>3400</v>
      </c>
      <c r="D29" s="393">
        <f>+SUM(D26:D28)</f>
        <v>3400</v>
      </c>
    </row>
    <row r="30" spans="1:5" ht="15" customHeight="1" thickBot="1" x14ac:dyDescent="0.4"/>
    <row r="31" spans="1:5" ht="15" customHeight="1" thickTop="1" thickBot="1" x14ac:dyDescent="0.4">
      <c r="A31" s="469" t="s">
        <v>732</v>
      </c>
      <c r="B31" s="786">
        <f>+B13+B16+B23+B29</f>
        <v>90938</v>
      </c>
      <c r="C31" s="779">
        <f>+C13+C16+C23+C29</f>
        <v>95134</v>
      </c>
      <c r="D31" s="1151">
        <f>+D13+D16+D23+D29</f>
        <v>95134</v>
      </c>
    </row>
    <row r="32" spans="1:5" ht="15" thickTop="1" x14ac:dyDescent="0.35">
      <c r="A32" s="219" t="s">
        <v>739</v>
      </c>
      <c r="B32" s="592"/>
      <c r="C32" s="592"/>
      <c r="D32" s="1152">
        <f>(+D31-B31)/B31</f>
        <v>4.6141327057995556E-2</v>
      </c>
    </row>
    <row r="33" spans="1:4" x14ac:dyDescent="0.35">
      <c r="A33" s="294"/>
    </row>
    <row r="34" spans="1:4" s="196" customFormat="1" x14ac:dyDescent="0.35">
      <c r="A34" s="177" t="s">
        <v>741</v>
      </c>
    </row>
    <row r="35" spans="1:4" s="196" customFormat="1" x14ac:dyDescent="0.35">
      <c r="A35" s="177" t="s">
        <v>742</v>
      </c>
    </row>
    <row r="36" spans="1:4" x14ac:dyDescent="0.35">
      <c r="A36" s="294"/>
      <c r="B36" s="217"/>
      <c r="C36" s="217"/>
      <c r="D36" s="1153"/>
    </row>
    <row r="37" spans="1:4" ht="18.5" x14ac:dyDescent="0.35">
      <c r="A37" s="820" t="s">
        <v>496</v>
      </c>
    </row>
    <row r="38" spans="1:4" ht="32" customHeight="1" thickBot="1" x14ac:dyDescent="0.4">
      <c r="A38" s="802"/>
      <c r="B38" s="802"/>
    </row>
    <row r="39" spans="1:4" x14ac:dyDescent="0.35">
      <c r="A39" s="800" t="s">
        <v>716</v>
      </c>
      <c r="B39" s="803" t="s">
        <v>497</v>
      </c>
    </row>
    <row r="41" spans="1:4" ht="32" customHeight="1" thickBot="1" x14ac:dyDescent="0.4">
      <c r="A41" s="802"/>
      <c r="B41" s="802"/>
    </row>
    <row r="42" spans="1:4" x14ac:dyDescent="0.35">
      <c r="A42" s="800" t="s">
        <v>747</v>
      </c>
      <c r="B42" s="803" t="s">
        <v>497</v>
      </c>
    </row>
    <row r="44" spans="1:4" ht="32" customHeight="1" thickBot="1" x14ac:dyDescent="0.4">
      <c r="A44" s="802"/>
      <c r="B44" s="802"/>
    </row>
    <row r="45" spans="1:4" ht="29" x14ac:dyDescent="0.35">
      <c r="A45" s="818" t="s">
        <v>748</v>
      </c>
      <c r="B45" s="803" t="s">
        <v>497</v>
      </c>
    </row>
  </sheetData>
  <mergeCells count="1">
    <mergeCell ref="A1:C1"/>
  </mergeCells>
  <pageMargins left="0" right="0" top="0.5" bottom="0" header="0.3" footer="0.3"/>
  <pageSetup scale="81" orientation="portrait"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43" t="s">
        <v>698</v>
      </c>
      <c r="C1" s="1243"/>
      <c r="D1" s="1243"/>
      <c r="E1" s="1243"/>
      <c r="F1" s="1243"/>
      <c r="G1" s="1243"/>
    </row>
    <row r="2" spans="1:7" ht="43.5" x14ac:dyDescent="0.35">
      <c r="B2" s="1085" t="s">
        <v>699</v>
      </c>
      <c r="C2" s="1114" t="s">
        <v>700</v>
      </c>
      <c r="D2" s="1114" t="s">
        <v>702</v>
      </c>
      <c r="E2" s="1114" t="s">
        <v>703</v>
      </c>
      <c r="F2" s="1114" t="s">
        <v>701</v>
      </c>
      <c r="G2" s="1114" t="s">
        <v>607</v>
      </c>
    </row>
    <row r="3" spans="1:7" x14ac:dyDescent="0.35">
      <c r="A3" t="s">
        <v>689</v>
      </c>
      <c r="B3" s="1116">
        <v>78852</v>
      </c>
      <c r="C3" s="1116">
        <v>-50000</v>
      </c>
      <c r="D3" s="1117">
        <f>+B3+C3</f>
        <v>28852</v>
      </c>
      <c r="E3" s="1117">
        <f>+D3/D$15*(400000-80000)</f>
        <v>26337.264489019886</v>
      </c>
      <c r="F3" s="1116">
        <v>20000</v>
      </c>
      <c r="G3" s="1117">
        <f>+E3+F3</f>
        <v>46337.264489019886</v>
      </c>
    </row>
    <row r="4" spans="1:7" x14ac:dyDescent="0.35">
      <c r="A4" t="s">
        <v>690</v>
      </c>
      <c r="B4" s="1116">
        <v>26196</v>
      </c>
      <c r="C4" s="1116"/>
      <c r="D4" s="1117">
        <f t="shared" ref="D4:D14" si="0">+B4+C4</f>
        <v>26196</v>
      </c>
      <c r="E4" s="1117">
        <f t="shared" ref="E4:E14" si="1">+D4/D$15*(400000-80000)</f>
        <v>23912.761006320707</v>
      </c>
      <c r="F4" s="1116"/>
      <c r="G4" s="1117">
        <f t="shared" ref="G4:G14" si="2">+E4+F4</f>
        <v>23912.761006320707</v>
      </c>
    </row>
    <row r="5" spans="1:7" x14ac:dyDescent="0.35">
      <c r="A5" t="s">
        <v>691</v>
      </c>
      <c r="B5" s="1116">
        <v>35852</v>
      </c>
      <c r="C5" s="1116"/>
      <c r="D5" s="1117">
        <f t="shared" si="0"/>
        <v>35852</v>
      </c>
      <c r="E5" s="1117">
        <f t="shared" si="1"/>
        <v>32727.145655772252</v>
      </c>
      <c r="F5" s="1116"/>
      <c r="G5" s="1117">
        <f t="shared" si="2"/>
        <v>32727.145655772252</v>
      </c>
    </row>
    <row r="6" spans="1:7" x14ac:dyDescent="0.35">
      <c r="A6" t="s">
        <v>692</v>
      </c>
      <c r="B6" s="1116">
        <v>27285</v>
      </c>
      <c r="C6" s="1116"/>
      <c r="D6" s="1117">
        <f t="shared" si="0"/>
        <v>27285</v>
      </c>
      <c r="E6" s="1117">
        <f t="shared" si="1"/>
        <v>24906.843947834037</v>
      </c>
      <c r="F6" s="1116"/>
      <c r="G6" s="1117">
        <f t="shared" si="2"/>
        <v>24906.843947834037</v>
      </c>
    </row>
    <row r="7" spans="1:7" x14ac:dyDescent="0.35">
      <c r="A7" t="s">
        <v>215</v>
      </c>
      <c r="B7" s="1116">
        <v>22113</v>
      </c>
      <c r="C7" s="1116"/>
      <c r="D7" s="1117">
        <f t="shared" si="0"/>
        <v>22113</v>
      </c>
      <c r="E7" s="1117">
        <f t="shared" si="1"/>
        <v>20185.63460577072</v>
      </c>
      <c r="F7" s="1116"/>
      <c r="G7" s="1117">
        <f t="shared" si="2"/>
        <v>20185.63460577072</v>
      </c>
    </row>
    <row r="8" spans="1:7" x14ac:dyDescent="0.35">
      <c r="A8" t="s">
        <v>216</v>
      </c>
      <c r="B8" s="1116">
        <v>22022.75</v>
      </c>
      <c r="C8" s="1116"/>
      <c r="D8" s="1117">
        <f t="shared" si="0"/>
        <v>22022.75</v>
      </c>
      <c r="E8" s="1117">
        <f t="shared" si="1"/>
        <v>20103.250780727947</v>
      </c>
      <c r="F8" s="1116"/>
      <c r="G8" s="1117">
        <f t="shared" si="2"/>
        <v>20103.250780727947</v>
      </c>
    </row>
    <row r="9" spans="1:7" x14ac:dyDescent="0.35">
      <c r="A9" t="s">
        <v>217</v>
      </c>
      <c r="B9" s="1116">
        <v>78080</v>
      </c>
      <c r="C9" s="1116">
        <v>-50000</v>
      </c>
      <c r="D9" s="1117">
        <f t="shared" si="0"/>
        <v>28080</v>
      </c>
      <c r="E9" s="1117">
        <f t="shared" si="1"/>
        <v>25632.551880343766</v>
      </c>
      <c r="F9" s="1116">
        <v>60000</v>
      </c>
      <c r="G9" s="1117">
        <f t="shared" si="2"/>
        <v>85632.551880343759</v>
      </c>
    </row>
    <row r="10" spans="1:7" x14ac:dyDescent="0.35">
      <c r="A10" t="s">
        <v>693</v>
      </c>
      <c r="B10" s="1116">
        <v>23106</v>
      </c>
      <c r="C10" s="1116"/>
      <c r="D10" s="1117">
        <f t="shared" si="0"/>
        <v>23106</v>
      </c>
      <c r="E10" s="1117">
        <f t="shared" si="1"/>
        <v>21092.084891282873</v>
      </c>
      <c r="F10" s="1116"/>
      <c r="G10" s="1117">
        <f t="shared" si="2"/>
        <v>21092.084891282873</v>
      </c>
    </row>
    <row r="11" spans="1:7" x14ac:dyDescent="0.35">
      <c r="A11" t="s">
        <v>694</v>
      </c>
      <c r="B11" s="1116">
        <v>22482</v>
      </c>
      <c r="C11" s="1116"/>
      <c r="D11" s="1117">
        <f t="shared" si="0"/>
        <v>22482</v>
      </c>
      <c r="E11" s="1117">
        <f t="shared" si="1"/>
        <v>20522.472627275238</v>
      </c>
      <c r="F11" s="1116"/>
      <c r="G11" s="1117">
        <f t="shared" si="2"/>
        <v>20522.472627275238</v>
      </c>
    </row>
    <row r="12" spans="1:7" x14ac:dyDescent="0.35">
      <c r="A12" t="s">
        <v>695</v>
      </c>
      <c r="B12" s="1116">
        <v>34623.75</v>
      </c>
      <c r="C12" s="1116"/>
      <c r="D12" s="1117">
        <f t="shared" si="0"/>
        <v>34623.75</v>
      </c>
      <c r="E12" s="1117">
        <f t="shared" si="1"/>
        <v>31605.949721048884</v>
      </c>
      <c r="F12" s="1116"/>
      <c r="G12" s="1117">
        <f t="shared" si="2"/>
        <v>31605.949721048884</v>
      </c>
    </row>
    <row r="13" spans="1:7" x14ac:dyDescent="0.35">
      <c r="A13" t="s">
        <v>696</v>
      </c>
      <c r="B13" s="1116">
        <v>41326</v>
      </c>
      <c r="C13" s="1116"/>
      <c r="D13" s="1117">
        <f t="shared" si="0"/>
        <v>41326</v>
      </c>
      <c r="E13" s="1117">
        <f t="shared" si="1"/>
        <v>37724.032728172599</v>
      </c>
      <c r="F13" s="1116"/>
      <c r="G13" s="1117">
        <f t="shared" si="2"/>
        <v>37724.032728172599</v>
      </c>
    </row>
    <row r="14" spans="1:7" x14ac:dyDescent="0.35">
      <c r="A14" t="s">
        <v>697</v>
      </c>
      <c r="B14" s="1116">
        <v>38615.75</v>
      </c>
      <c r="C14" s="1116"/>
      <c r="D14" s="1117">
        <f t="shared" si="0"/>
        <v>38615.75</v>
      </c>
      <c r="E14" s="1117">
        <f t="shared" si="1"/>
        <v>35250.007666431091</v>
      </c>
      <c r="F14" s="1116"/>
      <c r="G14" s="1117">
        <f t="shared" si="2"/>
        <v>35250.007666431091</v>
      </c>
    </row>
    <row r="15" spans="1:7" x14ac:dyDescent="0.35">
      <c r="A15" t="s">
        <v>157</v>
      </c>
      <c r="B15" s="1115">
        <f t="shared" ref="B15:G15" si="3">SUM(B3:B14)</f>
        <v>450554.25</v>
      </c>
      <c r="C15" s="1115">
        <f t="shared" si="3"/>
        <v>-100000</v>
      </c>
      <c r="D15" s="1115">
        <f t="shared" si="3"/>
        <v>350554.25</v>
      </c>
      <c r="E15" s="1115">
        <f t="shared" si="3"/>
        <v>320000</v>
      </c>
      <c r="F15" s="1115">
        <f t="shared" si="3"/>
        <v>80000</v>
      </c>
      <c r="G15" s="1115">
        <f t="shared" si="3"/>
        <v>400000</v>
      </c>
    </row>
  </sheetData>
  <mergeCells count="1">
    <mergeCell ref="B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24</vt:i4>
      </vt:variant>
      <vt:variant>
        <vt:lpstr>Charts</vt:lpstr>
      </vt:variant>
      <vt:variant>
        <vt:i4>1</vt:i4>
      </vt:variant>
      <vt:variant>
        <vt:lpstr>Named Ranges</vt:lpstr>
      </vt:variant>
      <vt:variant>
        <vt:i4>4</vt:i4>
      </vt:variant>
    </vt:vector>
  </HeadingPairs>
  <TitlesOfParts>
    <vt:vector size="29" baseType="lpstr">
      <vt:lpstr>Top Sheet</vt:lpstr>
      <vt:lpstr>Summary New Year</vt:lpstr>
      <vt:lpstr>Annual Report</vt:lpstr>
      <vt:lpstr>New Year-Full Year</vt:lpstr>
      <vt:lpstr>Analysis of Rates</vt:lpstr>
      <vt:lpstr>Technology</vt:lpstr>
      <vt:lpstr>Year End Overage</vt:lpstr>
      <vt:lpstr>John</vt:lpstr>
      <vt:lpstr>Income Pacing</vt:lpstr>
      <vt:lpstr>Band and Other Music</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2023-11-14T00:55:06Z</cp:lastPrinted>
  <dcterms:created xsi:type="dcterms:W3CDTF">2011-12-01T18:07:46Z</dcterms:created>
  <dcterms:modified xsi:type="dcterms:W3CDTF">2023-11-14T00:55:11Z</dcterms:modified>
</cp:coreProperties>
</file>